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Лист2" sheetId="2" r:id="rId1"/>
    <sheet name="Лист1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2" i="2" l="1"/>
  <c r="H18" i="2" l="1"/>
  <c r="H217" i="2"/>
  <c r="H197" i="2"/>
  <c r="H182" i="2"/>
  <c r="H168" i="2"/>
  <c r="H151" i="2"/>
  <c r="H93" i="2"/>
  <c r="H75" i="2"/>
  <c r="H59" i="2"/>
  <c r="H46" i="2"/>
  <c r="H21" i="2"/>
  <c r="H14" i="2"/>
  <c r="H16" i="2" l="1"/>
  <c r="H80" i="2"/>
  <c r="H207" i="2" l="1"/>
  <c r="H220" i="2"/>
  <c r="H123" i="2" l="1"/>
  <c r="H125" i="2" l="1"/>
  <c r="H112" i="2"/>
  <c r="H213" i="2"/>
  <c r="H218" i="2"/>
  <c r="H85" i="2"/>
  <c r="H91" i="2"/>
  <c r="H90" i="2"/>
  <c r="H95" i="2"/>
  <c r="H155" i="2"/>
  <c r="H178" i="2"/>
  <c r="H183" i="2"/>
  <c r="H206" i="2"/>
  <c r="H38" i="2"/>
  <c r="H39" i="2"/>
  <c r="H77" i="2"/>
  <c r="H92" i="2"/>
  <c r="H176" i="2"/>
  <c r="H174" i="2"/>
  <c r="H15" i="2"/>
  <c r="H13" i="2"/>
  <c r="H96" i="2"/>
  <c r="H94" i="2"/>
  <c r="H17" i="2"/>
  <c r="H173" i="2" l="1"/>
  <c r="H50" i="2"/>
  <c r="H65" i="2"/>
  <c r="H200" i="2"/>
  <c r="H212" i="2"/>
  <c r="H191" i="2"/>
  <c r="H137" i="2"/>
  <c r="H43" i="2" l="1"/>
  <c r="I114" i="2" l="1"/>
  <c r="J114" i="2"/>
  <c r="K114" i="2"/>
  <c r="L114" i="2"/>
  <c r="M114" i="2"/>
  <c r="H114" i="2"/>
  <c r="G123" i="2"/>
  <c r="G122" i="2" s="1"/>
  <c r="H122" i="2"/>
  <c r="I123" i="2"/>
  <c r="I122" i="2" s="1"/>
  <c r="J123" i="2"/>
  <c r="J122" i="2" s="1"/>
  <c r="K123" i="2"/>
  <c r="K122" i="2" s="1"/>
  <c r="L123" i="2"/>
  <c r="L122" i="2" s="1"/>
  <c r="M123" i="2"/>
  <c r="M122" i="2" s="1"/>
  <c r="I102" i="2"/>
  <c r="J102" i="2"/>
  <c r="K102" i="2"/>
  <c r="L102" i="2"/>
  <c r="M102" i="2"/>
  <c r="H102" i="2"/>
  <c r="H160" i="2" l="1"/>
  <c r="I130" i="2"/>
  <c r="I113" i="2" s="1"/>
  <c r="J130" i="2"/>
  <c r="K130" i="2"/>
  <c r="L130" i="2"/>
  <c r="M130" i="2"/>
  <c r="M113" i="2" s="1"/>
  <c r="H130" i="2"/>
  <c r="H113" i="2" s="1"/>
  <c r="H54" i="2" l="1"/>
  <c r="M225" i="2" l="1"/>
  <c r="I225" i="2"/>
  <c r="M145" i="2" l="1"/>
  <c r="I145" i="2"/>
  <c r="I66" i="2" l="1"/>
  <c r="J66" i="2"/>
  <c r="K66" i="2"/>
  <c r="L66" i="2"/>
  <c r="M66" i="2"/>
  <c r="H66" i="2"/>
  <c r="H225" i="2" l="1"/>
  <c r="I13" i="2" l="1"/>
  <c r="I12" i="2" s="1"/>
  <c r="J13" i="2"/>
  <c r="J12" i="2" s="1"/>
  <c r="K13" i="2"/>
  <c r="K12" i="2" s="1"/>
  <c r="L13" i="2"/>
  <c r="L12" i="2" s="1"/>
  <c r="M13" i="2"/>
  <c r="M12" i="2" s="1"/>
  <c r="I111" i="2" l="1"/>
  <c r="J111" i="2"/>
  <c r="K111" i="2"/>
  <c r="L111" i="2"/>
  <c r="M111" i="2"/>
  <c r="J145" i="2" l="1"/>
  <c r="K145" i="2"/>
  <c r="L145" i="2"/>
  <c r="H145" i="2"/>
  <c r="H205" i="2" l="1"/>
  <c r="H177" i="2"/>
  <c r="H154" i="2"/>
  <c r="J150" i="2" l="1"/>
  <c r="J149" i="2" s="1"/>
  <c r="K150" i="2"/>
  <c r="K149" i="2" s="1"/>
  <c r="L150" i="2"/>
  <c r="L149" i="2" s="1"/>
  <c r="M149" i="2"/>
  <c r="J101" i="2" l="1"/>
  <c r="K101" i="2"/>
  <c r="L101" i="2"/>
  <c r="J182" i="2" l="1"/>
  <c r="K182" i="2"/>
  <c r="L182" i="2"/>
  <c r="M182" i="2"/>
  <c r="I182" i="2"/>
  <c r="J169" i="2" l="1"/>
  <c r="K169" i="2"/>
  <c r="L169" i="2"/>
  <c r="M169" i="2"/>
  <c r="I169" i="2"/>
  <c r="I89" i="2"/>
  <c r="J89" i="2"/>
  <c r="K89" i="2"/>
  <c r="L89" i="2"/>
  <c r="M89" i="2"/>
  <c r="H89" i="2"/>
  <c r="I82" i="2"/>
  <c r="J82" i="2"/>
  <c r="K82" i="2"/>
  <c r="L82" i="2"/>
  <c r="M82" i="2"/>
  <c r="I84" i="2"/>
  <c r="J84" i="2"/>
  <c r="K84" i="2"/>
  <c r="L84" i="2"/>
  <c r="M84" i="2"/>
  <c r="H53" i="2"/>
  <c r="M72" i="2"/>
  <c r="L72" i="2"/>
  <c r="K72" i="2"/>
  <c r="J72" i="2"/>
  <c r="I72" i="2"/>
  <c r="H199" i="2" l="1"/>
  <c r="J141" i="2" l="1"/>
  <c r="K141" i="2"/>
  <c r="L141" i="2"/>
  <c r="M141" i="2"/>
  <c r="H82" i="2" l="1"/>
  <c r="H84" i="2"/>
  <c r="J225" i="2" l="1"/>
  <c r="K225" i="2"/>
  <c r="L225" i="2"/>
  <c r="J174" i="2"/>
  <c r="K174" i="2"/>
  <c r="L174" i="2"/>
  <c r="H169" i="2" l="1"/>
  <c r="I25" i="2" l="1"/>
  <c r="J25" i="2"/>
  <c r="K25" i="2"/>
  <c r="L25" i="2"/>
  <c r="M25" i="2"/>
  <c r="H25" i="2"/>
  <c r="I23" i="2" l="1"/>
  <c r="J23" i="2"/>
  <c r="K23" i="2"/>
  <c r="L23" i="2"/>
  <c r="M23" i="2"/>
  <c r="H23" i="2"/>
  <c r="J37" i="2" l="1"/>
  <c r="K37" i="2"/>
  <c r="L37" i="2"/>
  <c r="J79" i="2" l="1"/>
  <c r="J78" i="2" s="1"/>
  <c r="K79" i="2"/>
  <c r="K78" i="2" s="1"/>
  <c r="L79" i="2"/>
  <c r="L78" i="2" s="1"/>
  <c r="M79" i="2"/>
  <c r="M78" i="2" s="1"/>
  <c r="J199" i="2" l="1"/>
  <c r="J197" i="2" s="1"/>
  <c r="K199" i="2"/>
  <c r="K197" i="2" s="1"/>
  <c r="L199" i="2"/>
  <c r="L197" i="2" s="1"/>
  <c r="M199" i="2"/>
  <c r="M197" i="2" s="1"/>
  <c r="J205" i="2"/>
  <c r="J204" i="2" s="1"/>
  <c r="K205" i="2"/>
  <c r="K204" i="2" s="1"/>
  <c r="L205" i="2"/>
  <c r="L204" i="2" s="1"/>
  <c r="M205" i="2"/>
  <c r="M204" i="2" s="1"/>
  <c r="J211" i="2"/>
  <c r="J210" i="2" s="1"/>
  <c r="K211" i="2"/>
  <c r="K210" i="2" s="1"/>
  <c r="L211" i="2"/>
  <c r="L210" i="2" s="1"/>
  <c r="M211" i="2"/>
  <c r="M210" i="2" s="1"/>
  <c r="J218" i="2"/>
  <c r="K218" i="2"/>
  <c r="L218" i="2"/>
  <c r="M218" i="2"/>
  <c r="J224" i="2"/>
  <c r="K224" i="2"/>
  <c r="L224" i="2"/>
  <c r="M224" i="2"/>
  <c r="L172" i="2"/>
  <c r="J177" i="2"/>
  <c r="K177" i="2"/>
  <c r="L177" i="2"/>
  <c r="M177" i="2"/>
  <c r="J194" i="2"/>
  <c r="J190" i="2" s="1"/>
  <c r="J189" i="2" s="1"/>
  <c r="K194" i="2"/>
  <c r="K190" i="2" s="1"/>
  <c r="K189" i="2" s="1"/>
  <c r="L194" i="2"/>
  <c r="L190" i="2" s="1"/>
  <c r="L189" i="2" s="1"/>
  <c r="M194" i="2"/>
  <c r="M190" i="2" s="1"/>
  <c r="M189" i="2" s="1"/>
  <c r="J154" i="2"/>
  <c r="J151" i="2" s="1"/>
  <c r="K154" i="2"/>
  <c r="K151" i="2" s="1"/>
  <c r="L154" i="2"/>
  <c r="L151" i="2" s="1"/>
  <c r="M154" i="2"/>
  <c r="M151" i="2" s="1"/>
  <c r="J144" i="2"/>
  <c r="J143" i="2" s="1"/>
  <c r="K144" i="2"/>
  <c r="K143" i="2" s="1"/>
  <c r="L144" i="2"/>
  <c r="L143" i="2" s="1"/>
  <c r="M144" i="2"/>
  <c r="M143" i="2" s="1"/>
  <c r="J110" i="2"/>
  <c r="J100" i="2" s="1"/>
  <c r="K110" i="2"/>
  <c r="K100" i="2" s="1"/>
  <c r="L110" i="2"/>
  <c r="L100" i="2" s="1"/>
  <c r="M110" i="2"/>
  <c r="M100" i="2" s="1"/>
  <c r="K88" i="2"/>
  <c r="K87" i="2" s="1"/>
  <c r="J76" i="2"/>
  <c r="K76" i="2"/>
  <c r="L76" i="2"/>
  <c r="M76" i="2"/>
  <c r="J64" i="2"/>
  <c r="J59" i="2" s="1"/>
  <c r="J58" i="2" s="1"/>
  <c r="K64" i="2"/>
  <c r="K59" i="2" s="1"/>
  <c r="K58" i="2" s="1"/>
  <c r="L64" i="2"/>
  <c r="L59" i="2" s="1"/>
  <c r="L58" i="2" s="1"/>
  <c r="M64" i="2"/>
  <c r="M59" i="2" s="1"/>
  <c r="M58" i="2" s="1"/>
  <c r="J54" i="2"/>
  <c r="J53" i="2" s="1"/>
  <c r="J52" i="2" s="1"/>
  <c r="K54" i="2"/>
  <c r="K53" i="2" s="1"/>
  <c r="K52" i="2" s="1"/>
  <c r="L54" i="2"/>
  <c r="L53" i="2" s="1"/>
  <c r="L52" i="2" s="1"/>
  <c r="M54" i="2"/>
  <c r="M53" i="2" s="1"/>
  <c r="M52" i="2" s="1"/>
  <c r="J47" i="2"/>
  <c r="K47" i="2"/>
  <c r="L47" i="2"/>
  <c r="M47" i="2"/>
  <c r="J49" i="2"/>
  <c r="K49" i="2"/>
  <c r="L49" i="2"/>
  <c r="M49" i="2"/>
  <c r="J35" i="2"/>
  <c r="K35" i="2"/>
  <c r="L35" i="2"/>
  <c r="M35" i="2"/>
  <c r="J31" i="2"/>
  <c r="K31" i="2"/>
  <c r="L31" i="2"/>
  <c r="M31" i="2"/>
  <c r="J27" i="2"/>
  <c r="K27" i="2"/>
  <c r="L27" i="2"/>
  <c r="M27" i="2"/>
  <c r="J29" i="2"/>
  <c r="K29" i="2"/>
  <c r="L29" i="2"/>
  <c r="M29" i="2"/>
  <c r="J14" i="2"/>
  <c r="K14" i="2"/>
  <c r="L14" i="2"/>
  <c r="M14" i="2"/>
  <c r="L168" i="2" l="1"/>
  <c r="J11" i="2"/>
  <c r="J21" i="2"/>
  <c r="L21" i="2"/>
  <c r="K21" i="2"/>
  <c r="M88" i="2"/>
  <c r="M87" i="2" s="1"/>
  <c r="L88" i="2"/>
  <c r="L87" i="2" s="1"/>
  <c r="L11" i="2"/>
  <c r="K11" i="2"/>
  <c r="M11" i="2"/>
  <c r="J88" i="2"/>
  <c r="J87" i="2" s="1"/>
  <c r="J136" i="2"/>
  <c r="J188" i="2"/>
  <c r="J172" i="2"/>
  <c r="J168" i="2" s="1"/>
  <c r="J217" i="2"/>
  <c r="J216" i="2" s="1"/>
  <c r="J215" i="2" s="1"/>
  <c r="K172" i="2"/>
  <c r="K168" i="2" s="1"/>
  <c r="M136" i="2"/>
  <c r="M172" i="2"/>
  <c r="M168" i="2" s="1"/>
  <c r="L136" i="2"/>
  <c r="K136" i="2"/>
  <c r="K46" i="2"/>
  <c r="K45" i="2" s="1"/>
  <c r="J46" i="2"/>
  <c r="J45" i="2" s="1"/>
  <c r="L46" i="2"/>
  <c r="L45" i="2" s="1"/>
  <c r="M46" i="2"/>
  <c r="M45" i="2" s="1"/>
  <c r="L217" i="2"/>
  <c r="L216" i="2" s="1"/>
  <c r="L215" i="2" s="1"/>
  <c r="M217" i="2"/>
  <c r="M216" i="2" s="1"/>
  <c r="M215" i="2" s="1"/>
  <c r="K217" i="2"/>
  <c r="K216" i="2" s="1"/>
  <c r="K215" i="2" s="1"/>
  <c r="M188" i="2"/>
  <c r="L188" i="2"/>
  <c r="K188" i="2"/>
  <c r="K83" i="2"/>
  <c r="J83" i="2"/>
  <c r="M83" i="2"/>
  <c r="L83" i="2"/>
  <c r="J10" i="2" l="1"/>
  <c r="K10" i="2"/>
  <c r="L10" i="2"/>
  <c r="J134" i="2" l="1"/>
  <c r="J133" i="2" s="1"/>
  <c r="K134" i="2"/>
  <c r="K133" i="2" s="1"/>
  <c r="L134" i="2"/>
  <c r="L133" i="2" s="1"/>
  <c r="M134" i="2"/>
  <c r="M133" i="2" s="1"/>
  <c r="M99" i="2" s="1"/>
  <c r="J128" i="2"/>
  <c r="J113" i="2" s="1"/>
  <c r="K128" i="2"/>
  <c r="K113" i="2" s="1"/>
  <c r="L128" i="2"/>
  <c r="L113" i="2" s="1"/>
  <c r="J75" i="2"/>
  <c r="J9" i="2" s="1"/>
  <c r="K75" i="2"/>
  <c r="K9" i="2" s="1"/>
  <c r="L75" i="2"/>
  <c r="L9" i="2" s="1"/>
  <c r="M75" i="2"/>
  <c r="J160" i="2"/>
  <c r="K160" i="2"/>
  <c r="L160" i="2"/>
  <c r="M160" i="2"/>
  <c r="J162" i="2"/>
  <c r="K162" i="2"/>
  <c r="L162" i="2"/>
  <c r="M162" i="2"/>
  <c r="J166" i="2"/>
  <c r="K166" i="2"/>
  <c r="L166" i="2"/>
  <c r="M166" i="2"/>
  <c r="M164" i="2"/>
  <c r="L99" i="2" l="1"/>
  <c r="K99" i="2"/>
  <c r="J99" i="2"/>
  <c r="J159" i="2"/>
  <c r="M159" i="2"/>
  <c r="L159" i="2"/>
  <c r="K159" i="2"/>
  <c r="I79" i="2"/>
  <c r="H79" i="2"/>
  <c r="I31" i="2"/>
  <c r="H31" i="2"/>
  <c r="J98" i="2" l="1"/>
  <c r="J7" i="2" s="1"/>
  <c r="L98" i="2"/>
  <c r="L7" i="2" s="1"/>
  <c r="M98" i="2"/>
  <c r="K98" i="2"/>
  <c r="K7" i="2" s="1"/>
  <c r="I154" i="2"/>
  <c r="I29" i="2"/>
  <c r="H29" i="2"/>
  <c r="G66" i="2"/>
  <c r="M37" i="2"/>
  <c r="G219" i="2" l="1"/>
  <c r="G206" i="2"/>
  <c r="G178" i="2"/>
  <c r="G173" i="2"/>
  <c r="G155" i="2"/>
  <c r="G91" i="2"/>
  <c r="G90" i="2"/>
  <c r="G85" i="2"/>
  <c r="G30" i="2"/>
  <c r="G29" i="2" s="1"/>
  <c r="G77" i="2"/>
  <c r="G65" i="2"/>
  <c r="G55" i="2"/>
  <c r="G50" i="2"/>
  <c r="G48" i="2"/>
  <c r="G28" i="2"/>
  <c r="G15" i="2"/>
  <c r="G13" i="2"/>
  <c r="G218" i="2" l="1"/>
  <c r="G199" i="2"/>
  <c r="G163" i="2"/>
  <c r="G161" i="2"/>
  <c r="G131" i="2"/>
  <c r="G14" i="2"/>
  <c r="G72" i="2"/>
  <c r="G79" i="2"/>
  <c r="G56" i="2" l="1"/>
  <c r="G54" i="2" s="1"/>
  <c r="G111" i="2"/>
  <c r="G174" i="2"/>
  <c r="G176" i="2"/>
  <c r="G179" i="2"/>
  <c r="G207" i="2"/>
  <c r="G156" i="2" l="1"/>
  <c r="G154" i="2" s="1"/>
  <c r="G175" i="2" l="1"/>
  <c r="G32" i="2"/>
  <c r="G31" i="2" s="1"/>
  <c r="G38" i="2"/>
  <c r="G37" i="2" s="1"/>
  <c r="H224" i="2" l="1"/>
  <c r="I224" i="2"/>
  <c r="G224" i="2"/>
  <c r="H211" i="2" l="1"/>
  <c r="H210" i="2" s="1"/>
  <c r="I211" i="2"/>
  <c r="H204" i="2"/>
  <c r="I205" i="2"/>
  <c r="I14" i="2"/>
  <c r="H12" i="2"/>
  <c r="H11" i="2" l="1"/>
  <c r="I204" i="2"/>
  <c r="I210" i="2"/>
  <c r="I11" i="2"/>
  <c r="I177" i="2" l="1"/>
  <c r="H144" i="2"/>
  <c r="H143" i="2" s="1"/>
  <c r="I144" i="2"/>
  <c r="I143" i="2" s="1"/>
  <c r="H194" i="2" l="1"/>
  <c r="H190" i="2" s="1"/>
  <c r="H27" i="2"/>
  <c r="I27" i="2"/>
  <c r="I194" i="2" l="1"/>
  <c r="I190" i="2" s="1"/>
  <c r="I189" i="2" s="1"/>
  <c r="I136" i="2"/>
  <c r="H136" i="2"/>
  <c r="H172" i="2" l="1"/>
  <c r="I172" i="2"/>
  <c r="I168" i="2" s="1"/>
  <c r="G141" i="2"/>
  <c r="G195" i="2" l="1"/>
  <c r="G193" i="2"/>
  <c r="G192" i="2"/>
  <c r="G170" i="2"/>
  <c r="G139" i="2"/>
  <c r="G138" i="2"/>
  <c r="G172" i="2" l="1"/>
  <c r="I54" i="2" l="1"/>
  <c r="G23" i="2" l="1"/>
  <c r="H110" i="2" l="1"/>
  <c r="H100" i="2" s="1"/>
  <c r="I110" i="2"/>
  <c r="I100" i="2" s="1"/>
  <c r="I199" i="2"/>
  <c r="I197" i="2" s="1"/>
  <c r="H164" i="2"/>
  <c r="I164" i="2"/>
  <c r="H149" i="2"/>
  <c r="I149" i="2"/>
  <c r="I151" i="2" s="1"/>
  <c r="H141" i="2"/>
  <c r="I141" i="2"/>
  <c r="H134" i="2"/>
  <c r="H133" i="2" s="1"/>
  <c r="I134" i="2"/>
  <c r="I133" i="2" s="1"/>
  <c r="H88" i="2"/>
  <c r="H87" i="2" s="1"/>
  <c r="H83" i="2"/>
  <c r="H76" i="2"/>
  <c r="I76" i="2"/>
  <c r="H64" i="2"/>
  <c r="I64" i="2"/>
  <c r="I59" i="2" s="1"/>
  <c r="I58" i="2" s="1"/>
  <c r="H37" i="2"/>
  <c r="I37" i="2"/>
  <c r="M21" i="2" s="1"/>
  <c r="M10" i="2" s="1"/>
  <c r="M9" i="2" s="1"/>
  <c r="H35" i="2"/>
  <c r="I35" i="2"/>
  <c r="I218" i="2"/>
  <c r="H52" i="2"/>
  <c r="I53" i="2"/>
  <c r="I52" i="2" s="1"/>
  <c r="H47" i="2"/>
  <c r="I47" i="2"/>
  <c r="H49" i="2"/>
  <c r="I49" i="2"/>
  <c r="M7" i="2" l="1"/>
  <c r="H10" i="2"/>
  <c r="H58" i="2"/>
  <c r="I88" i="2"/>
  <c r="I83" i="2"/>
  <c r="I99" i="2"/>
  <c r="I21" i="2"/>
  <c r="I217" i="2"/>
  <c r="I46" i="2"/>
  <c r="H45" i="2"/>
  <c r="H216" i="2"/>
  <c r="H215" i="2" s="1"/>
  <c r="I87" i="2" l="1"/>
  <c r="I45" i="2"/>
  <c r="I10" i="2"/>
  <c r="I216" i="2"/>
  <c r="G110" i="2"/>
  <c r="I215" i="2" l="1"/>
  <c r="H78" i="2"/>
  <c r="I78" i="2"/>
  <c r="H9" i="2" l="1"/>
  <c r="I75" i="2"/>
  <c r="I9" i="2" s="1"/>
  <c r="H166" i="2"/>
  <c r="I166" i="2"/>
  <c r="H162" i="2"/>
  <c r="I162" i="2"/>
  <c r="I160" i="2"/>
  <c r="H189" i="2"/>
  <c r="H188" i="2" s="1"/>
  <c r="I159" i="2" l="1"/>
  <c r="H159" i="2"/>
  <c r="I188" i="2" l="1"/>
  <c r="H99" i="2"/>
  <c r="H98" i="2" l="1"/>
  <c r="H7" i="2" s="1"/>
  <c r="I98" i="2" l="1"/>
  <c r="G211" i="2"/>
  <c r="G205" i="2"/>
  <c r="G204" i="2" s="1"/>
  <c r="G197" i="2"/>
  <c r="G194" i="2"/>
  <c r="I7" i="2" l="1"/>
  <c r="G190" i="2"/>
  <c r="G189" i="2" s="1"/>
  <c r="G177" i="2" l="1"/>
  <c r="G168" i="2" s="1"/>
  <c r="G160" i="2"/>
  <c r="G147" i="2"/>
  <c r="G144" i="2"/>
  <c r="G143" i="2" s="1"/>
  <c r="G136" i="2"/>
  <c r="G134" i="2"/>
  <c r="G130" i="2"/>
  <c r="G114" i="2"/>
  <c r="G102" i="2"/>
  <c r="G100" i="2" s="1"/>
  <c r="G89" i="2"/>
  <c r="G88" i="2" s="1"/>
  <c r="G84" i="2"/>
  <c r="G83" i="2" s="1"/>
  <c r="G78" i="2"/>
  <c r="G76" i="2"/>
  <c r="G64" i="2"/>
  <c r="G59" i="2" s="1"/>
  <c r="G58" i="2" s="1"/>
  <c r="G53" i="2"/>
  <c r="G52" i="2" s="1"/>
  <c r="G47" i="2"/>
  <c r="G49" i="2"/>
  <c r="G27" i="2"/>
  <c r="G35" i="2"/>
  <c r="G12" i="2"/>
  <c r="G11" i="2" s="1"/>
  <c r="G21" i="2" l="1"/>
  <c r="G151" i="2"/>
  <c r="G75" i="2"/>
  <c r="G113" i="2"/>
  <c r="G133" i="2"/>
  <c r="G46" i="2"/>
  <c r="G45" i="2" s="1"/>
  <c r="G162" i="2" l="1"/>
  <c r="G87" i="2" l="1"/>
  <c r="G217" i="2" l="1"/>
  <c r="G216" i="2" l="1"/>
  <c r="G215" i="2" s="1"/>
  <c r="G166" i="2"/>
  <c r="G164" i="2"/>
  <c r="G159" i="2" l="1"/>
  <c r="G210" i="2"/>
  <c r="G99" i="2" l="1"/>
  <c r="G98" i="2" s="1"/>
  <c r="G188" i="2" l="1"/>
  <c r="G82" i="2"/>
  <c r="G10" i="2" l="1"/>
  <c r="G9" i="2" s="1"/>
  <c r="G7" i="2" l="1"/>
</calcChain>
</file>

<file path=xl/sharedStrings.xml><?xml version="1.0" encoding="utf-8"?>
<sst xmlns="http://schemas.openxmlformats.org/spreadsheetml/2006/main" count="927" uniqueCount="235">
  <si>
    <t>Наименование</t>
  </si>
  <si>
    <t>Мин</t>
  </si>
  <si>
    <t>Рз</t>
  </si>
  <si>
    <t>ПР</t>
  </si>
  <si>
    <t>ЦСР</t>
  </si>
  <si>
    <t>ВР</t>
  </si>
  <si>
    <t>Всего</t>
  </si>
  <si>
    <t>Муниципальное учреждение «Отдел культуры местной администрации Чегемского муниципального района»</t>
  </si>
  <si>
    <t>01</t>
  </si>
  <si>
    <t>03</t>
  </si>
  <si>
    <t>04</t>
  </si>
  <si>
    <t>05</t>
  </si>
  <si>
    <t>06</t>
  </si>
  <si>
    <t>07</t>
  </si>
  <si>
    <t>02</t>
  </si>
  <si>
    <t>09</t>
  </si>
  <si>
    <t>08</t>
  </si>
  <si>
    <t>руб.</t>
  </si>
  <si>
    <t>13</t>
  </si>
  <si>
    <t>12</t>
  </si>
  <si>
    <t>Расходы на обеспечение функций органов местного самоуправления, в том числе территориальных органов, по непрограммному направлению расходов "Обеспечение деятельности Счетной палаты"</t>
  </si>
  <si>
    <t>Взнос в Ассоциацию "Совет Муниципальных образований КБР"</t>
  </si>
  <si>
    <t>Выплаты доплат к пенсиям лицам замещавшим должность муниципальной службы</t>
  </si>
  <si>
    <t>9690090019</t>
  </si>
  <si>
    <t>7810090019</t>
  </si>
  <si>
    <t>7820090019</t>
  </si>
  <si>
    <t>0220275190</t>
  </si>
  <si>
    <t>0220290059</t>
  </si>
  <si>
    <t>0240190059</t>
  </si>
  <si>
    <t>0250390019</t>
  </si>
  <si>
    <t>9990070090</t>
  </si>
  <si>
    <t>99900F2600</t>
  </si>
  <si>
    <t>9990070100</t>
  </si>
  <si>
    <t>1110290059</t>
  </si>
  <si>
    <t>1140190019</t>
  </si>
  <si>
    <t>2320290059</t>
  </si>
  <si>
    <t>9390090019</t>
  </si>
  <si>
    <t>3810690019</t>
  </si>
  <si>
    <t>9990059300</t>
  </si>
  <si>
    <t>15Г0099998</t>
  </si>
  <si>
    <t>7710092794</t>
  </si>
  <si>
    <t>9990090019</t>
  </si>
  <si>
    <t>1010390019</t>
  </si>
  <si>
    <t>0530190019</t>
  </si>
  <si>
    <t>71000Н0600</t>
  </si>
  <si>
    <t>9990070110</t>
  </si>
  <si>
    <t>1340290019</t>
  </si>
  <si>
    <t>Осуществление переданных органам местного самоуправления в соответствии со статёй 3 Закона КБР от 29.10.2003 года № 90-РЗ "Об органах записи актов гражданского состояния в КБР" полномочий Российской Федерации на государственную регистрацию актов гражданского состояния</t>
  </si>
  <si>
    <t>Расходы на обеспечение деятельности (оказание услуг) муниципальных учреждений</t>
  </si>
  <si>
    <t>Пополнение фондов школьных библиотек образовательных учреждений</t>
  </si>
  <si>
    <t>Субвенции на выплату единовременного пособия при всех формах устройства детей, лишенных родительского попечения, в семью</t>
  </si>
  <si>
    <t>3920520540</t>
  </si>
  <si>
    <t>02403Н0380</t>
  </si>
  <si>
    <t>МКУ "КСП" - Чегемского муниципального района</t>
  </si>
  <si>
    <t>Местная администрация Чегемского муниципального района</t>
  </si>
  <si>
    <t>cубвенции на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             на 2017 год</t>
  </si>
  <si>
    <t>9990071210</t>
  </si>
  <si>
    <t>71000Н0730</t>
  </si>
  <si>
    <t>Единовременная выплата при присвоении звания "Почетный гражданин Чегемского района"</t>
  </si>
  <si>
    <t>100</t>
  </si>
  <si>
    <t>200</t>
  </si>
  <si>
    <t>800</t>
  </si>
  <si>
    <t>300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</si>
  <si>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</si>
  <si>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</si>
  <si>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</si>
  <si>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</si>
  <si>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бщегосударственные вопросы</t>
  </si>
  <si>
    <t>10</t>
  </si>
  <si>
    <t>Расходы на выплаты персоналу в целях обеспечения выполнения функций государственными ( муниципальными) органами, казенными учреждениями, органами управления государственными внебюджетными фондами</t>
  </si>
  <si>
    <t>Расходы на обеспечение функций государственных органов, в том числе территориальных органов, в рамках обеспечения функционирования главы местной администрации и его заместителей , аппарата местной администрации</t>
  </si>
  <si>
    <t>закупка товаров , работ и услуг для государственных ( муниципальных ) нужд</t>
  </si>
  <si>
    <t>Иные бюджетные ассигнования</t>
  </si>
  <si>
    <t>Реализация  мероприятий программы в рамках подпрограммы " Градостроительная деятельность"</t>
  </si>
  <si>
    <t>Расходы  на обеспечение функций государственных органов, втом числе территориальных органов , в  рамках подпрограммы "Повышение эффективности управления муниципальным имуществом и приватизации"</t>
  </si>
  <si>
    <t>Осуществление выплат Почетным гражданам муниципальных образований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</si>
  <si>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</si>
  <si>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</si>
  <si>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Расходы на обеспечение функций государственных органов, в том числе территориальных органов в рамках федеральной целевой программы" Создание системы обеспечения вызова экстренныхоперативных служб по единому номеру "112" в Российской Федерации на 2013-2017 годы"</t>
  </si>
  <si>
    <t>Расходы на обеспечение функций государственных органов, в том числе территориальных органов" Обеспечение повседневного функционирования подаразделений МЧС Росии"</t>
  </si>
  <si>
    <t>НАЦИОНАЛЬНАЯ ЭКОНОМИКА</t>
  </si>
  <si>
    <t>Расходы на обеспечения фнкций государственных органов, в том числе территориальных органов, в программе "Обеспечение реализации мунципальной программы" Муниципальная программа развития сельского хозяйства и расширения рынков сельскохозяйственной продукции, сырья и продовольствия"</t>
  </si>
  <si>
    <t>Сельское хозяйство и рыболовство</t>
  </si>
  <si>
    <t>Другие вопросы в облости жилищно-коммунального хозяйства</t>
  </si>
  <si>
    <t>Расходы на обеспечение функций  государственных органов , в том числе территориальных органов в рамках подпрограммы " Обеспечение доступным и комфортным жильем и коммунальными услугами"</t>
  </si>
  <si>
    <t>ОБРАЗОВАНИЕ</t>
  </si>
  <si>
    <t>Дополнительное образование детей</t>
  </si>
  <si>
    <t>Расходы на обеспечение деятельности (оказание услуг) муниципальных учреждений в рамках подпрограммы "Развитие дополнительного образования детей и реализация мероприятий молодежной политики"</t>
  </si>
  <si>
    <t>Закупка товаров , работ и услуг для государственных ( муниципальных ) нужд</t>
  </si>
  <si>
    <t>КУЛЬТУРА КИНЕМАТОГРАФИЯ</t>
  </si>
  <si>
    <t>Другие вопросы в облости культуры и кинематографии</t>
  </si>
  <si>
    <t>Расходы на обеспечение функций государственных органов, в том числе территориальных органов, в рамках подпрограммы " Обеспечение условий реализации муниципальной программы " Развитие культуры и туризма"</t>
  </si>
  <si>
    <t>СОЦИАЛЬНАЯ ПОЛИТИКА</t>
  </si>
  <si>
    <t>Другие вопросы в облости социальной политики</t>
  </si>
  <si>
    <t>Расходы на обеспечение функций государственных органов, в том числе территориальных органов, в рамках иных непрограммных мероприятий реализации функций иных органов местного самоуправления</t>
  </si>
  <si>
    <t>Социальное обеспечение  и иные выплаты населению</t>
  </si>
  <si>
    <t>Муниципальное казенное  учреждение «Управление образования местной администрации Чегемского муниципального района»</t>
  </si>
  <si>
    <t>Дошкольное образование</t>
  </si>
  <si>
    <t>Расходы на обеспечение деятельности (оказание услуг) муниципальных учреждений в рамках подпрограммы "Содействие  развитию дошкольного и общего образования"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</si>
  <si>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игрушек)в рамах подпрограммы " Содействие развитию дошкольного  и общего образования".</t>
  </si>
  <si>
    <t>Общее образование</t>
  </si>
  <si>
    <t>Расходы на обеспечение деятельности (оказание услуг) муниципальных учреждений в рамках подпрограммы "Содействие  развитию дошкольного и общего образования,"развитие кадрового потенциала системы дошкольного и общего образования".</t>
  </si>
  <si>
    <t>Премии главы муниципального образования для поддержки талантливой молодежи в рамках подпрограммы " развитие дополнительного образования детей и реализация мероприятий молодежной политики", основное мероприятие " Выявление и поддержка одаренных детей и молодежи"</t>
  </si>
  <si>
    <t>Другие вопросы в облости образования</t>
  </si>
  <si>
    <t>Расходы на обеспечение функций государственных органов, в том числе территориальных органов, в рамках подпрограммы " Совершенствования управления системой образования"</t>
  </si>
  <si>
    <t>Субвенции на выплату единовременного пособия при всех формах устройства детей, лишенных родительского попечения, в семью  в рамках иных мероприятий реализации функций иных органов местного самоупараления</t>
  </si>
  <si>
    <t>Содержание отделов опеки и попечительства в рамках иных непрограмных мероприятий реализации функции иных органовмнстного самоуправления</t>
  </si>
  <si>
    <t>Содержание ребенка в семье опекуна и приемной семье, а также вознаграждение, причитающееся приемному родителю в рамках иных непрограммных мероприятий реализации функций иных органов местного самоуправления</t>
  </si>
  <si>
    <t>Молодежная политика и оздоровление детей</t>
  </si>
  <si>
    <t>Расходы на обеспечение деятельности (оказание услуг) муниципальных учреждений в рамках подпрограммы " Развитие дополнительного образования детей и реализация мероприятий молодежной политики"</t>
  </si>
  <si>
    <t>Расходы на обеспечение деятельности (оказание услуг) муниципальных учреждений в рамках подпрограммы " Наследие"</t>
  </si>
  <si>
    <t>Закупка товаров , работ и услуг для государственных (муниципальных ) нужд</t>
  </si>
  <si>
    <t>Закупка товаров , работ и услуг для государственных  (муниципальных ) нужд</t>
  </si>
  <si>
    <t>Средства массовой информации</t>
  </si>
  <si>
    <t>Расходы на обеспечение деятельности (оказание услуг) муниципальных учреждений в рамках подпрограммы" информационная среда "</t>
  </si>
  <si>
    <t>Расходы на обеспечение функций государственных органов, в том числе территориальных органов, в рамках подпрограммы " Нормативно- методическое обеспечение и организации бюджетного процесса"</t>
  </si>
  <si>
    <t>11</t>
  </si>
  <si>
    <t>14</t>
  </si>
  <si>
    <t>Содержание комиссий по делам несовершеннолетних и защите их прав</t>
  </si>
  <si>
    <t>1310390059</t>
  </si>
  <si>
    <t>Расходы на обеспечение функций государственных органов, в том числе территориальных органов, в рамках обеспечения функционирования аппарата местной администрации</t>
  </si>
  <si>
    <t>В том числе объем условно утвержденных расходов</t>
  </si>
  <si>
    <t>Выплаты вознаграждений спортсменам</t>
  </si>
  <si>
    <t>0240180070</t>
  </si>
  <si>
    <t>0240596057</t>
  </si>
  <si>
    <t>4620192100</t>
  </si>
  <si>
    <t>02401М9400</t>
  </si>
  <si>
    <t>0240272020</t>
  </si>
  <si>
    <t>Мероприятия, связанные с организацией отдыха детей в учреждениях с дневным пребыванием детей в каникулярное время</t>
  </si>
  <si>
    <t>Расходы на обеспечение деятельности (оказание услуг) муниципальных учреждений, подпрограммы " Развитие физической культуры и массового спорта", основное мероприятие " Совершенствование  спортивной инфраструктуры и материально - технической базы для занятия физической культуры и массовым спортом"</t>
  </si>
  <si>
    <t>1540199998</t>
  </si>
  <si>
    <t>400</t>
  </si>
  <si>
    <t>9620090019</t>
  </si>
  <si>
    <t>Расходы на обеспечение функций государственных органов, в том числе территориальных органов</t>
  </si>
  <si>
    <t>Совет местного самоупраления</t>
  </si>
  <si>
    <t>Совет местного самоупраления Чегемского муниципального района</t>
  </si>
  <si>
    <t>Муниципальное учреждение "Комитет по физической культуре, спорту и туризму Местной администрации Чегемского муниципального района"</t>
  </si>
  <si>
    <t>Иные бюджетные ассигнований</t>
  </si>
  <si>
    <t>9990070190</t>
  </si>
  <si>
    <t>Субвенции бюджетам муниципальных образований на выплату ежемесячного вознаграждения приемным родителям</t>
  </si>
  <si>
    <t>0240170120</t>
  </si>
  <si>
    <t>022Е250970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</si>
  <si>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</si>
  <si>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Жилищно-коммунальное хозяйство</t>
  </si>
  <si>
    <t>4610162160</t>
  </si>
  <si>
    <t>600</t>
  </si>
  <si>
    <t>Субвенции бюджетам муниципальных образований на отлов животных без владльцев</t>
  </si>
  <si>
    <t xml:space="preserve"> МП «Поддержка социально ориентированных некоммерческих организаций Чегемского муниципального района »</t>
  </si>
  <si>
    <t>9090051200</t>
  </si>
  <si>
    <t>9990071220</t>
  </si>
  <si>
    <t>Субвенции бюджетам муниципальных районов на осуществление полномочий по составлению списков кандидатов в присяжные заседатели</t>
  </si>
  <si>
    <t>0220270880</t>
  </si>
  <si>
    <t>25Ф0190019</t>
  </si>
  <si>
    <t>0240199997</t>
  </si>
  <si>
    <t xml:space="preserve"> Профилактика безнадзорности  правонарушений несовершеннолетних</t>
  </si>
  <si>
    <t>Реализация мероприятий программы Гармонизация межэтнических отношений и укрепление единства российской нации в Чегемском муниципальном районе на 2016-2020 годы</t>
  </si>
  <si>
    <t>Профилактка правонарушений (Противодействие терроризму)</t>
  </si>
  <si>
    <t>02202L3030</t>
  </si>
  <si>
    <t>02202L3040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</si>
  <si>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</si>
  <si>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</si>
  <si>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02401 М9400</t>
  </si>
  <si>
    <t>Иные бюджетные трансферты на осуществление части полномочий по организации водоснабжения населения в пределах полномочий , установленных законодательсьвом РФ</t>
  </si>
  <si>
    <t>Профилактика безнадзорности и правонарушений несовершеннолетних</t>
  </si>
  <si>
    <t>Мероприятия по профилактике незаконного потребления наркотических средств и психотропных веществ, наркомании</t>
  </si>
  <si>
    <t xml:space="preserve">Резервный фонд Местной администрации </t>
  </si>
  <si>
    <t>Дотации на выравнивание бюджетной обеспеченности</t>
  </si>
  <si>
    <t>Муниципальное учреждение «Управление финансами Чегемского муниципального района»</t>
  </si>
  <si>
    <t>Финансовая помощь муниципальным образованиям</t>
  </si>
  <si>
    <t>1011290019</t>
  </si>
  <si>
    <t>МП" Противодействие коррупции в Чегемском муниципальном районе"</t>
  </si>
  <si>
    <t>500</t>
  </si>
  <si>
    <t>39Б0170010</t>
  </si>
  <si>
    <t>0220275180</t>
  </si>
  <si>
    <t>3920390019</t>
  </si>
  <si>
    <t xml:space="preserve">                                                                                                к решению  Совета местного самоуправления</t>
  </si>
  <si>
    <t>Закупка товаров , работ и услуг для государственных ( муниципальных ) нужд(молодежь чегемского района)</t>
  </si>
  <si>
    <t>0599994009</t>
  </si>
  <si>
    <t>Создание объектов социального и производственного комплексов, в том числе объектов общегражданского назначения, жилья, инфраструктуры, и иных объектов</t>
  </si>
  <si>
    <t>программа энергоэффективности</t>
  </si>
  <si>
    <t>Профилактика безнадзорности и правонарушений несовершеннолетних(правонарушение)</t>
  </si>
  <si>
    <t xml:space="preserve">Профилактка правонарушений </t>
  </si>
  <si>
    <t xml:space="preserve">                                                                                                                                            Приложение № 2</t>
  </si>
  <si>
    <t>111A155900</t>
  </si>
  <si>
    <t>Техническое оснащение муниципальных музеев</t>
  </si>
  <si>
    <t>02202L7500</t>
  </si>
  <si>
    <t>Реализация мероприятий по модернизации школьных систем образования</t>
  </si>
  <si>
    <t>МКУ "Управление капитального строительства</t>
  </si>
  <si>
    <t>Реализация мероприятий программы</t>
  </si>
  <si>
    <t>05212S4009</t>
  </si>
  <si>
    <t>Расходы на осуществление проектно-изыскательных работ по объектам социального и производственного комплексов, в том числе объектов общегражданского назначения, жилья, инфраструктуры и иных объектов</t>
  </si>
  <si>
    <t>0520180050</t>
  </si>
  <si>
    <t>Взносы региональному оператору на капитальный ремонт общего имущества в многоквартирных домах</t>
  </si>
  <si>
    <t>Профилактика правонарушений</t>
  </si>
  <si>
    <t>0527570550</t>
  </si>
  <si>
    <t>Ведомственная структура расходов местного бюджета на 2023 год и на плановый период 2024 и 2025 годов</t>
  </si>
  <si>
    <t xml:space="preserve">иные межбюджетные трансферты на создание модельных муниципальных библиотек в целях реализации национального проекта «Культура» на 2023 год </t>
  </si>
  <si>
    <t>15Г00L5110</t>
  </si>
  <si>
    <t>Субсидии бюджетам муниципальных образований на проведение комплексных кадастровых работ</t>
  </si>
  <si>
    <t>0220270130</t>
  </si>
  <si>
    <t>Реализация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</t>
  </si>
  <si>
    <t>0220277110</t>
  </si>
  <si>
    <t>0220277120</t>
  </si>
  <si>
    <t>0220277210</t>
  </si>
  <si>
    <t>0220277220</t>
  </si>
  <si>
    <t>0220277300</t>
  </si>
  <si>
    <t>Субвенции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</t>
  </si>
  <si>
    <t>022027000</t>
  </si>
  <si>
    <t>Субвенции бюджетам муниципальных образований на оплату труда основного административно-управленческого персонала образовательных организаций</t>
  </si>
  <si>
    <t>Субвенции бюджетам муниципальных образований на оплату труда административно-управленческого персонала (за исключением основного административно-управленческого персонала), учебно-вспомогательного персонала образовательных организаций</t>
  </si>
  <si>
    <t>Субвенции бюджетам муниципальных образований на оплату труда педагогических работников образовательных организаций</t>
  </si>
  <si>
    <t>Субвенции бюджетам муниципальных образований на оплату труда прочих педагогических работников образовательных организаций</t>
  </si>
  <si>
    <t>Субвенции бюджетам муниципальных образований на оплату труда младшего обслуживающего персонала образовательных организаций</t>
  </si>
  <si>
    <t>0220277400</t>
  </si>
  <si>
    <t>0220270000</t>
  </si>
  <si>
    <t>Субвенции бюджетам муниципальных образований на оплату труда за индивидуальное обучение на основании медицинского заключения на дому детей, имеющих ограниченные возможности здоровья, за индивидуальное и групповое обучение детей, находящихся на длительном</t>
  </si>
  <si>
    <t>0240177210</t>
  </si>
  <si>
    <t>111A154540</t>
  </si>
  <si>
    <t>Российской Федерации от 03 октября 2022 г. № 1745 "О специальной мере в сфере экономики и внесении изменения в постановление Правительства Российской Федерации от 30 апреля 2020 г. № 616"</t>
  </si>
  <si>
    <t>9990090000</t>
  </si>
  <si>
    <t>9990092019</t>
  </si>
  <si>
    <t>НАЦИОНАЛЬНАЯ ОБОРОНА</t>
  </si>
  <si>
    <t>013</t>
  </si>
  <si>
    <t>0240590019</t>
  </si>
  <si>
    <t>Комплекс процессных мероприятий "Поддержка молодежных инициатив"</t>
  </si>
  <si>
    <t>11102L5190</t>
  </si>
  <si>
    <t>Расходы на поддержку отрасли культуры</t>
  </si>
  <si>
    <t>Реализация программы</t>
  </si>
  <si>
    <t>ИМУЩЕСТВО</t>
  </si>
  <si>
    <t>13201Н0440</t>
  </si>
  <si>
    <t>9990099999</t>
  </si>
  <si>
    <t>Финансовое обеспечение иных расходов органов местного самоуправления и муниципальных казенных учреждений</t>
  </si>
  <si>
    <t>9990095490</t>
  </si>
  <si>
    <t>Дотации (гранты) местным бюджетам за достижение показателей деятельности органов исполнительной власти субъектов Российской Федерации</t>
  </si>
  <si>
    <t xml:space="preserve">                                                      Чегемского муниципального района  от 09.08.2023г. №121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</si>
</sst>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3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49" fontId="1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/>
    <xf numFmtId="2" fontId="2" fillId="2" borderId="0" xfId="0" applyNumberFormat="1" applyFont="1" applyFill="1"/>
    <xf numFmtId="2" fontId="1" fillId="2" borderId="0" xfId="0" applyNumberFormat="1" applyFont="1" applyFill="1"/>
    <xf numFmtId="0" fontId="1" fillId="2" borderId="1" xfId="0" applyFont="1" applyFill="1" applyBorder="1"/>
    <xf numFmtId="0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10" fontId="1" fillId="2" borderId="0" xfId="0" applyNumberFormat="1" applyFont="1" applyFill="1"/>
    <xf numFmtId="0" fontId="2" fillId="2" borderId="1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top" wrapText="1"/>
    </xf>
    <xf numFmtId="10" fontId="1" fillId="2" borderId="0" xfId="0" quotePrefix="1" applyNumberFormat="1" applyFont="1" applyFill="1"/>
    <xf numFmtId="2" fontId="1" fillId="2" borderId="0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5"/>
  <sheetViews>
    <sheetView tabSelected="1" zoomScale="90" zoomScaleNormal="90" workbookViewId="0">
      <selection activeCell="T5" sqref="T5"/>
    </sheetView>
  </sheetViews>
  <sheetFormatPr defaultRowHeight="15" x14ac:dyDescent="0.25"/>
  <cols>
    <col min="1" max="1" width="25.7109375" style="7" customWidth="1"/>
    <col min="2" max="2" width="4.7109375" style="7" customWidth="1"/>
    <col min="3" max="3" width="3.5703125" style="7" customWidth="1"/>
    <col min="4" max="4" width="3.42578125" style="7" customWidth="1"/>
    <col min="5" max="5" width="11.42578125" style="7" customWidth="1"/>
    <col min="6" max="6" width="4" style="7" customWidth="1"/>
    <col min="7" max="7" width="0.140625" style="14" customWidth="1"/>
    <col min="8" max="8" width="15.28515625" style="14" customWidth="1"/>
    <col min="9" max="9" width="16.85546875" style="14" customWidth="1"/>
    <col min="10" max="10" width="0" style="7" hidden="1" customWidth="1"/>
    <col min="11" max="11" width="11.5703125" style="7" hidden="1" customWidth="1"/>
    <col min="12" max="12" width="0" style="7" hidden="1" customWidth="1"/>
    <col min="13" max="13" width="15" style="14" customWidth="1"/>
    <col min="14" max="14" width="11.5703125" style="7" customWidth="1"/>
    <col min="15" max="16384" width="9.140625" style="7"/>
  </cols>
  <sheetData>
    <row r="1" spans="1:14" x14ac:dyDescent="0.25">
      <c r="A1" s="12" t="s">
        <v>182</v>
      </c>
      <c r="B1" s="12"/>
      <c r="C1" s="12"/>
      <c r="D1" s="12"/>
      <c r="E1" s="12"/>
      <c r="F1" s="12"/>
      <c r="G1" s="13"/>
      <c r="H1" s="13"/>
    </row>
    <row r="2" spans="1:14" x14ac:dyDescent="0.25">
      <c r="A2" s="12" t="s">
        <v>175</v>
      </c>
      <c r="B2" s="12"/>
      <c r="C2" s="12"/>
      <c r="D2" s="12"/>
      <c r="E2" s="12"/>
      <c r="F2" s="12"/>
      <c r="G2" s="13"/>
      <c r="H2" s="13"/>
    </row>
    <row r="3" spans="1:14" x14ac:dyDescent="0.25">
      <c r="A3" s="12" t="s">
        <v>234</v>
      </c>
      <c r="B3" s="12"/>
      <c r="C3" s="12"/>
      <c r="D3" s="12"/>
      <c r="E3" s="12"/>
      <c r="F3" s="12"/>
      <c r="G3" s="13"/>
      <c r="H3" s="13"/>
    </row>
    <row r="4" spans="1:14" x14ac:dyDescent="0.25">
      <c r="A4" s="7" t="s">
        <v>195</v>
      </c>
    </row>
    <row r="5" spans="1:14" x14ac:dyDescent="0.25">
      <c r="A5" s="7" t="s">
        <v>17</v>
      </c>
    </row>
    <row r="6" spans="1:14" x14ac:dyDescent="0.25">
      <c r="A6" s="15" t="s">
        <v>0</v>
      </c>
      <c r="B6" s="15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6">
        <v>2021</v>
      </c>
      <c r="H6" s="16">
        <v>2023</v>
      </c>
      <c r="I6" s="16">
        <v>2024</v>
      </c>
      <c r="M6" s="16">
        <v>2025</v>
      </c>
    </row>
    <row r="7" spans="1:14" x14ac:dyDescent="0.25">
      <c r="A7" s="17" t="s">
        <v>6</v>
      </c>
      <c r="B7" s="18"/>
      <c r="C7" s="18"/>
      <c r="D7" s="18"/>
      <c r="E7" s="18"/>
      <c r="F7" s="18"/>
      <c r="G7" s="19" t="e">
        <f>G9+G82+G87+G98+G168+G188+G215</f>
        <v>#REF!</v>
      </c>
      <c r="H7" s="19">
        <f>H8+H9+H82+H98+H188+H215+H87+H168+H182+H93</f>
        <v>1333545890.2000003</v>
      </c>
      <c r="I7" s="19">
        <f>I8+I9+I82+I98+I188+I215+I87+I168+I182</f>
        <v>1249537230.25</v>
      </c>
      <c r="J7" s="19" t="e">
        <f>J8+J9+J82+J98+J188+J215+J87+J168+J182</f>
        <v>#REF!</v>
      </c>
      <c r="K7" s="19" t="e">
        <f>K8+K9+K82+K98+K188+K215+K87+K168+K182</f>
        <v>#REF!</v>
      </c>
      <c r="L7" s="19" t="e">
        <f>L8+L9+L82+L98+L188+L215+L87+L168+L182</f>
        <v>#REF!</v>
      </c>
      <c r="M7" s="19">
        <f>M8+M9+M82+M98+M188+M215+M87+M168+M182</f>
        <v>1263056677.52</v>
      </c>
    </row>
    <row r="8" spans="1:14" ht="39.75" customHeight="1" x14ac:dyDescent="0.25">
      <c r="A8" s="10" t="s">
        <v>121</v>
      </c>
      <c r="B8" s="20"/>
      <c r="C8" s="20"/>
      <c r="D8" s="20"/>
      <c r="E8" s="20"/>
      <c r="F8" s="20"/>
      <c r="G8" s="6"/>
      <c r="H8" s="6"/>
      <c r="I8" s="6">
        <v>11125420</v>
      </c>
      <c r="J8" s="7">
        <v>29637414</v>
      </c>
      <c r="M8" s="6">
        <v>23457740</v>
      </c>
    </row>
    <row r="9" spans="1:14" ht="57.75" x14ac:dyDescent="0.25">
      <c r="A9" s="21" t="s">
        <v>54</v>
      </c>
      <c r="B9" s="22">
        <v>803</v>
      </c>
      <c r="C9" s="22"/>
      <c r="D9" s="22"/>
      <c r="E9" s="22"/>
      <c r="F9" s="22"/>
      <c r="G9" s="5" t="e">
        <f>G10+G45+G52+G58+G68+G70+G72+G75+G20+G19+#REF!</f>
        <v>#REF!</v>
      </c>
      <c r="H9" s="5">
        <f>H10+H45+H52+H58+H68+H69+H70+H72+H75+H44</f>
        <v>94700296.679999992</v>
      </c>
      <c r="I9" s="5">
        <f t="shared" ref="I9:M9" si="0">I10+I45+I52+I58+I68+I70+I72+I75+I20+I19+I69</f>
        <v>85441971.049999997</v>
      </c>
      <c r="J9" s="5">
        <f t="shared" si="0"/>
        <v>87922005.530000001</v>
      </c>
      <c r="K9" s="5">
        <f t="shared" si="0"/>
        <v>87963333.799999997</v>
      </c>
      <c r="L9" s="5">
        <f t="shared" si="0"/>
        <v>92246280.319999993</v>
      </c>
      <c r="M9" s="5">
        <f t="shared" si="0"/>
        <v>85733898.319999993</v>
      </c>
      <c r="N9" s="14"/>
    </row>
    <row r="10" spans="1:14" ht="29.25" x14ac:dyDescent="0.25">
      <c r="A10" s="21" t="s">
        <v>63</v>
      </c>
      <c r="B10" s="22">
        <v>803</v>
      </c>
      <c r="C10" s="23" t="s">
        <v>8</v>
      </c>
      <c r="D10" s="22"/>
      <c r="E10" s="22"/>
      <c r="F10" s="22"/>
      <c r="G10" s="5" t="e">
        <f t="shared" ref="G10:M10" si="1">G11+G21</f>
        <v>#REF!</v>
      </c>
      <c r="H10" s="5">
        <f>H11+H19+H20+H21</f>
        <v>63057503.099999994</v>
      </c>
      <c r="I10" s="5">
        <f t="shared" si="1"/>
        <v>61438869</v>
      </c>
      <c r="J10" s="5">
        <f t="shared" si="1"/>
        <v>63235789</v>
      </c>
      <c r="K10" s="5">
        <f t="shared" si="1"/>
        <v>63235789</v>
      </c>
      <c r="L10" s="5">
        <f t="shared" si="1"/>
        <v>67559783</v>
      </c>
      <c r="M10" s="5">
        <f t="shared" si="1"/>
        <v>61730869</v>
      </c>
      <c r="N10" s="14"/>
    </row>
    <row r="11" spans="1:14" ht="120" x14ac:dyDescent="0.25">
      <c r="A11" s="8" t="s">
        <v>64</v>
      </c>
      <c r="B11" s="2">
        <v>803</v>
      </c>
      <c r="C11" s="3" t="s">
        <v>8</v>
      </c>
      <c r="D11" s="3" t="s">
        <v>10</v>
      </c>
      <c r="E11" s="3"/>
      <c r="F11" s="3"/>
      <c r="G11" s="4" t="e">
        <f t="shared" ref="G11:M11" si="2">G12+G14</f>
        <v>#REF!</v>
      </c>
      <c r="H11" s="4">
        <f t="shared" si="2"/>
        <v>49974354</v>
      </c>
      <c r="I11" s="4">
        <f t="shared" si="2"/>
        <v>47082989</v>
      </c>
      <c r="J11" s="4">
        <f t="shared" si="2"/>
        <v>52816219</v>
      </c>
      <c r="K11" s="4">
        <f t="shared" si="2"/>
        <v>52816219</v>
      </c>
      <c r="L11" s="4">
        <f t="shared" si="2"/>
        <v>52816219</v>
      </c>
      <c r="M11" s="4">
        <f t="shared" si="2"/>
        <v>47082989</v>
      </c>
    </row>
    <row r="12" spans="1:14" ht="150" x14ac:dyDescent="0.25">
      <c r="A12" s="8" t="s">
        <v>70</v>
      </c>
      <c r="B12" s="2">
        <v>803</v>
      </c>
      <c r="C12" s="3" t="s">
        <v>8</v>
      </c>
      <c r="D12" s="3" t="s">
        <v>10</v>
      </c>
      <c r="E12" s="3" t="s">
        <v>24</v>
      </c>
      <c r="F12" s="3"/>
      <c r="G12" s="4">
        <f>G13</f>
        <v>6326478</v>
      </c>
      <c r="H12" s="4">
        <f>H13</f>
        <v>8163116</v>
      </c>
      <c r="I12" s="4">
        <f t="shared" ref="I12:M12" si="3">I13</f>
        <v>7963116</v>
      </c>
      <c r="J12" s="4">
        <f t="shared" si="3"/>
        <v>7963116</v>
      </c>
      <c r="K12" s="4">
        <f t="shared" si="3"/>
        <v>7963116</v>
      </c>
      <c r="L12" s="4">
        <f t="shared" si="3"/>
        <v>7963116</v>
      </c>
      <c r="M12" s="4">
        <f t="shared" si="3"/>
        <v>7963116</v>
      </c>
    </row>
    <row r="13" spans="1:14" ht="165" x14ac:dyDescent="0.25">
      <c r="A13" s="8" t="s">
        <v>69</v>
      </c>
      <c r="B13" s="2">
        <v>803</v>
      </c>
      <c r="C13" s="3" t="s">
        <v>8</v>
      </c>
      <c r="D13" s="3" t="s">
        <v>10</v>
      </c>
      <c r="E13" s="3" t="s">
        <v>24</v>
      </c>
      <c r="F13" s="3" t="s">
        <v>59</v>
      </c>
      <c r="G13" s="4">
        <f>6068725+257753</f>
        <v>6326478</v>
      </c>
      <c r="H13" s="4">
        <f>7963116+200000</f>
        <v>8163116</v>
      </c>
      <c r="I13" s="4">
        <f t="shared" ref="I13:M13" si="4">7878316+84800</f>
        <v>7963116</v>
      </c>
      <c r="J13" s="4">
        <f t="shared" si="4"/>
        <v>7963116</v>
      </c>
      <c r="K13" s="4">
        <f t="shared" si="4"/>
        <v>7963116</v>
      </c>
      <c r="L13" s="4">
        <f t="shared" si="4"/>
        <v>7963116</v>
      </c>
      <c r="M13" s="4">
        <f t="shared" si="4"/>
        <v>7963116</v>
      </c>
    </row>
    <row r="14" spans="1:14" ht="120" x14ac:dyDescent="0.25">
      <c r="A14" s="8" t="s">
        <v>120</v>
      </c>
      <c r="B14" s="2">
        <v>803</v>
      </c>
      <c r="C14" s="3" t="s">
        <v>8</v>
      </c>
      <c r="D14" s="3" t="s">
        <v>10</v>
      </c>
      <c r="E14" s="3" t="s">
        <v>25</v>
      </c>
      <c r="F14" s="3"/>
      <c r="G14" s="4" t="e">
        <f>G15+G16+G17+#REF!</f>
        <v>#REF!</v>
      </c>
      <c r="H14" s="4">
        <f>H15+H16+H17+H18</f>
        <v>41811238</v>
      </c>
      <c r="I14" s="4">
        <f t="shared" ref="I14:M14" si="5">I15+I16+I17</f>
        <v>39119873</v>
      </c>
      <c r="J14" s="4">
        <f t="shared" si="5"/>
        <v>44853103</v>
      </c>
      <c r="K14" s="4">
        <f t="shared" si="5"/>
        <v>44853103</v>
      </c>
      <c r="L14" s="4">
        <f t="shared" si="5"/>
        <v>44853103</v>
      </c>
      <c r="M14" s="4">
        <f t="shared" si="5"/>
        <v>39119873</v>
      </c>
    </row>
    <row r="15" spans="1:14" ht="165" x14ac:dyDescent="0.25">
      <c r="A15" s="8" t="s">
        <v>69</v>
      </c>
      <c r="B15" s="2">
        <v>803</v>
      </c>
      <c r="C15" s="3" t="s">
        <v>8</v>
      </c>
      <c r="D15" s="3" t="s">
        <v>10</v>
      </c>
      <c r="E15" s="3" t="s">
        <v>25</v>
      </c>
      <c r="F15" s="3" t="s">
        <v>59</v>
      </c>
      <c r="G15" s="4">
        <f>22688920+1245468</f>
        <v>23934388</v>
      </c>
      <c r="H15" s="4">
        <f>22955141+179987+200000</f>
        <v>23335128</v>
      </c>
      <c r="I15" s="4">
        <v>22569483</v>
      </c>
      <c r="J15" s="4">
        <v>22569483</v>
      </c>
      <c r="K15" s="4">
        <v>22569483</v>
      </c>
      <c r="L15" s="4">
        <v>22569483</v>
      </c>
      <c r="M15" s="4">
        <v>22569483</v>
      </c>
    </row>
    <row r="16" spans="1:14" ht="60" x14ac:dyDescent="0.25">
      <c r="A16" s="8" t="s">
        <v>88</v>
      </c>
      <c r="B16" s="2">
        <v>803</v>
      </c>
      <c r="C16" s="3" t="s">
        <v>8</v>
      </c>
      <c r="D16" s="3" t="s">
        <v>10</v>
      </c>
      <c r="E16" s="3" t="s">
        <v>25</v>
      </c>
      <c r="F16" s="3" t="s">
        <v>60</v>
      </c>
      <c r="G16" s="4">
        <v>16163913.189999999</v>
      </c>
      <c r="H16" s="4">
        <f>10440390-450500+50500</f>
        <v>10040390</v>
      </c>
      <c r="I16" s="4">
        <v>10940390</v>
      </c>
      <c r="J16" s="4">
        <v>18583620</v>
      </c>
      <c r="K16" s="4">
        <v>18583620</v>
      </c>
      <c r="L16" s="4">
        <v>18583620</v>
      </c>
      <c r="M16" s="4">
        <v>10940390</v>
      </c>
    </row>
    <row r="17" spans="1:13" ht="30" x14ac:dyDescent="0.25">
      <c r="A17" s="8" t="s">
        <v>72</v>
      </c>
      <c r="B17" s="2">
        <v>803</v>
      </c>
      <c r="C17" s="3" t="s">
        <v>8</v>
      </c>
      <c r="D17" s="3" t="s">
        <v>10</v>
      </c>
      <c r="E17" s="3" t="s">
        <v>25</v>
      </c>
      <c r="F17" s="3" t="s">
        <v>61</v>
      </c>
      <c r="G17" s="4">
        <v>1542000</v>
      </c>
      <c r="H17" s="4">
        <f>5610000+1640900</f>
        <v>7250900</v>
      </c>
      <c r="I17" s="4">
        <v>5610000</v>
      </c>
      <c r="J17" s="4">
        <v>3700000</v>
      </c>
      <c r="K17" s="4">
        <v>3700000</v>
      </c>
      <c r="L17" s="4">
        <v>3700000</v>
      </c>
      <c r="M17" s="4">
        <v>5610000</v>
      </c>
    </row>
    <row r="18" spans="1:13" ht="105" x14ac:dyDescent="0.25">
      <c r="A18" s="8" t="s">
        <v>233</v>
      </c>
      <c r="B18" s="2">
        <v>803</v>
      </c>
      <c r="C18" s="3" t="s">
        <v>8</v>
      </c>
      <c r="D18" s="3" t="s">
        <v>10</v>
      </c>
      <c r="E18" s="3" t="s">
        <v>232</v>
      </c>
      <c r="F18" s="3" t="s">
        <v>59</v>
      </c>
      <c r="G18" s="4"/>
      <c r="H18" s="4">
        <f>1093680+91140</f>
        <v>1184820</v>
      </c>
      <c r="I18" s="4">
        <v>0</v>
      </c>
      <c r="J18" s="31"/>
      <c r="K18" s="31"/>
      <c r="L18" s="31"/>
      <c r="M18" s="4">
        <v>0</v>
      </c>
    </row>
    <row r="19" spans="1:13" ht="105" x14ac:dyDescent="0.25">
      <c r="A19" s="8" t="s">
        <v>150</v>
      </c>
      <c r="B19" s="2">
        <v>803</v>
      </c>
      <c r="C19" s="3" t="s">
        <v>8</v>
      </c>
      <c r="D19" s="3" t="s">
        <v>11</v>
      </c>
      <c r="E19" s="3" t="s">
        <v>148</v>
      </c>
      <c r="F19" s="3" t="s">
        <v>60</v>
      </c>
      <c r="G19" s="4">
        <v>7048</v>
      </c>
      <c r="H19" s="4">
        <v>630.29999999999995</v>
      </c>
      <c r="I19" s="4">
        <v>666.67</v>
      </c>
      <c r="J19" s="7">
        <v>2315.15</v>
      </c>
      <c r="K19" s="7">
        <v>43642.42</v>
      </c>
      <c r="L19" s="7">
        <v>2593.94</v>
      </c>
      <c r="M19" s="6">
        <v>593.94000000000005</v>
      </c>
    </row>
    <row r="20" spans="1:13" ht="30" x14ac:dyDescent="0.25">
      <c r="A20" s="8" t="s">
        <v>165</v>
      </c>
      <c r="B20" s="2">
        <v>803</v>
      </c>
      <c r="C20" s="3" t="s">
        <v>8</v>
      </c>
      <c r="D20" s="3" t="s">
        <v>116</v>
      </c>
      <c r="E20" s="3" t="s">
        <v>51</v>
      </c>
      <c r="F20" s="3"/>
      <c r="G20" s="4">
        <v>2000000</v>
      </c>
      <c r="H20" s="4">
        <v>2000000</v>
      </c>
      <c r="I20" s="4">
        <v>2000000</v>
      </c>
      <c r="J20" s="4">
        <v>2000000</v>
      </c>
      <c r="K20" s="4">
        <v>2000000</v>
      </c>
      <c r="L20" s="4">
        <v>2000000</v>
      </c>
      <c r="M20" s="4">
        <v>2000000</v>
      </c>
    </row>
    <row r="21" spans="1:13" ht="45" x14ac:dyDescent="0.25">
      <c r="A21" s="8" t="s">
        <v>67</v>
      </c>
      <c r="B21" s="2">
        <v>803</v>
      </c>
      <c r="C21" s="3" t="s">
        <v>8</v>
      </c>
      <c r="D21" s="3" t="s">
        <v>18</v>
      </c>
      <c r="E21" s="3"/>
      <c r="F21" s="3"/>
      <c r="G21" s="4" t="e">
        <f>G25+G27+G29+G32+G33+G35+G37+G40+G23+#REF!+#REF!</f>
        <v>#REF!</v>
      </c>
      <c r="H21" s="5">
        <f>H25+H27+H29+H32+H33+H35+H37+H40+H23+H22+H42</f>
        <v>11082518.800000001</v>
      </c>
      <c r="I21" s="5">
        <f t="shared" ref="I21:M21" si="6">I25+I27+I29+I32+I33+I35+I37+I40+I23</f>
        <v>14355880</v>
      </c>
      <c r="J21" s="5">
        <f t="shared" si="6"/>
        <v>10419570</v>
      </c>
      <c r="K21" s="5">
        <f t="shared" si="6"/>
        <v>10419570</v>
      </c>
      <c r="L21" s="5">
        <f t="shared" si="6"/>
        <v>14743564</v>
      </c>
      <c r="M21" s="5">
        <f t="shared" si="6"/>
        <v>14647880</v>
      </c>
    </row>
    <row r="22" spans="1:13" ht="45" x14ac:dyDescent="0.25">
      <c r="A22" s="8" t="s">
        <v>224</v>
      </c>
      <c r="B22" s="2">
        <v>803</v>
      </c>
      <c r="C22" s="3" t="s">
        <v>8</v>
      </c>
      <c r="D22" s="3" t="s">
        <v>222</v>
      </c>
      <c r="E22" s="3" t="s">
        <v>223</v>
      </c>
      <c r="F22" s="3" t="s">
        <v>59</v>
      </c>
      <c r="G22" s="4"/>
      <c r="H22" s="5">
        <v>0</v>
      </c>
      <c r="I22" s="5">
        <v>0</v>
      </c>
      <c r="J22" s="5"/>
      <c r="K22" s="5"/>
      <c r="L22" s="5"/>
      <c r="M22" s="5">
        <v>0</v>
      </c>
    </row>
    <row r="23" spans="1:13" ht="90" x14ac:dyDescent="0.25">
      <c r="A23" s="8" t="s">
        <v>147</v>
      </c>
      <c r="B23" s="2">
        <v>803</v>
      </c>
      <c r="C23" s="3" t="s">
        <v>8</v>
      </c>
      <c r="D23" s="3" t="s">
        <v>18</v>
      </c>
      <c r="E23" s="3" t="s">
        <v>144</v>
      </c>
      <c r="F23" s="3"/>
      <c r="G23" s="4">
        <f t="shared" ref="G23:M23" si="7">G24</f>
        <v>100000</v>
      </c>
      <c r="H23" s="4">
        <f t="shared" si="7"/>
        <v>100000</v>
      </c>
      <c r="I23" s="4">
        <f t="shared" si="7"/>
        <v>100000</v>
      </c>
      <c r="J23" s="4">
        <f t="shared" si="7"/>
        <v>100000</v>
      </c>
      <c r="K23" s="4">
        <f t="shared" si="7"/>
        <v>100000</v>
      </c>
      <c r="L23" s="4">
        <f t="shared" si="7"/>
        <v>100000</v>
      </c>
      <c r="M23" s="4">
        <f t="shared" si="7"/>
        <v>100000</v>
      </c>
    </row>
    <row r="24" spans="1:13" ht="90" x14ac:dyDescent="0.25">
      <c r="A24" s="8" t="s">
        <v>147</v>
      </c>
      <c r="B24" s="2">
        <v>803</v>
      </c>
      <c r="C24" s="3" t="s">
        <v>8</v>
      </c>
      <c r="D24" s="3" t="s">
        <v>18</v>
      </c>
      <c r="E24" s="3" t="s">
        <v>144</v>
      </c>
      <c r="F24" s="3" t="s">
        <v>145</v>
      </c>
      <c r="G24" s="4">
        <v>100000</v>
      </c>
      <c r="H24" s="4">
        <v>100000</v>
      </c>
      <c r="I24" s="4">
        <v>100000</v>
      </c>
      <c r="J24" s="4">
        <v>100000</v>
      </c>
      <c r="K24" s="4">
        <v>100000</v>
      </c>
      <c r="L24" s="4">
        <v>100000</v>
      </c>
      <c r="M24" s="4">
        <v>100000</v>
      </c>
    </row>
    <row r="25" spans="1:13" ht="75" x14ac:dyDescent="0.25">
      <c r="A25" s="8" t="s">
        <v>73</v>
      </c>
      <c r="B25" s="2">
        <v>803</v>
      </c>
      <c r="C25" s="3" t="s">
        <v>8</v>
      </c>
      <c r="D25" s="3" t="s">
        <v>18</v>
      </c>
      <c r="E25" s="3" t="s">
        <v>39</v>
      </c>
      <c r="F25" s="3"/>
      <c r="G25" s="4">
        <v>1500000</v>
      </c>
      <c r="H25" s="4">
        <f t="shared" ref="H25:M25" si="8">H26</f>
        <v>0</v>
      </c>
      <c r="I25" s="4">
        <f t="shared" si="8"/>
        <v>1500000</v>
      </c>
      <c r="J25" s="4">
        <f t="shared" si="8"/>
        <v>1500000</v>
      </c>
      <c r="K25" s="4">
        <f t="shared" si="8"/>
        <v>1500000</v>
      </c>
      <c r="L25" s="4">
        <f t="shared" si="8"/>
        <v>1500000</v>
      </c>
      <c r="M25" s="4">
        <f t="shared" si="8"/>
        <v>1500000</v>
      </c>
    </row>
    <row r="26" spans="1:13" ht="60" x14ac:dyDescent="0.25">
      <c r="A26" s="8" t="s">
        <v>88</v>
      </c>
      <c r="B26" s="2">
        <v>803</v>
      </c>
      <c r="C26" s="3" t="s">
        <v>8</v>
      </c>
      <c r="D26" s="3" t="s">
        <v>18</v>
      </c>
      <c r="E26" s="3" t="s">
        <v>39</v>
      </c>
      <c r="F26" s="3" t="s">
        <v>60</v>
      </c>
      <c r="G26" s="4">
        <v>1500000</v>
      </c>
      <c r="H26" s="4">
        <v>0</v>
      </c>
      <c r="I26" s="4">
        <v>1500000</v>
      </c>
      <c r="J26" s="4">
        <v>1500000</v>
      </c>
      <c r="K26" s="4">
        <v>1500000</v>
      </c>
      <c r="L26" s="4">
        <v>1500000</v>
      </c>
      <c r="M26" s="4">
        <v>1500000</v>
      </c>
    </row>
    <row r="27" spans="1:13" ht="150" x14ac:dyDescent="0.25">
      <c r="A27" s="8" t="s">
        <v>74</v>
      </c>
      <c r="B27" s="2">
        <v>803</v>
      </c>
      <c r="C27" s="3" t="s">
        <v>8</v>
      </c>
      <c r="D27" s="3">
        <v>13</v>
      </c>
      <c r="E27" s="3" t="s">
        <v>37</v>
      </c>
      <c r="F27" s="3"/>
      <c r="G27" s="4">
        <f t="shared" ref="G27:M27" si="9">G28</f>
        <v>2507461</v>
      </c>
      <c r="H27" s="4">
        <f t="shared" si="9"/>
        <v>939206.81</v>
      </c>
      <c r="I27" s="4">
        <f t="shared" si="9"/>
        <v>2642352</v>
      </c>
      <c r="J27" s="4">
        <f t="shared" si="9"/>
        <v>2642352</v>
      </c>
      <c r="K27" s="4">
        <f t="shared" si="9"/>
        <v>2642352</v>
      </c>
      <c r="L27" s="4">
        <f t="shared" si="9"/>
        <v>2642352</v>
      </c>
      <c r="M27" s="4">
        <f t="shared" si="9"/>
        <v>2642352</v>
      </c>
    </row>
    <row r="28" spans="1:13" ht="165" x14ac:dyDescent="0.25">
      <c r="A28" s="8" t="s">
        <v>69</v>
      </c>
      <c r="B28" s="2">
        <v>803</v>
      </c>
      <c r="C28" s="3" t="s">
        <v>8</v>
      </c>
      <c r="D28" s="3">
        <v>13</v>
      </c>
      <c r="E28" s="3" t="s">
        <v>37</v>
      </c>
      <c r="F28" s="3" t="s">
        <v>59</v>
      </c>
      <c r="G28" s="4">
        <f>2401935+105526</f>
        <v>2507461</v>
      </c>
      <c r="H28" s="4">
        <v>939206.81</v>
      </c>
      <c r="I28" s="4">
        <v>2642352</v>
      </c>
      <c r="J28" s="4">
        <v>2642352</v>
      </c>
      <c r="K28" s="4">
        <v>2642352</v>
      </c>
      <c r="L28" s="4">
        <v>2642352</v>
      </c>
      <c r="M28" s="4">
        <v>2642352</v>
      </c>
    </row>
    <row r="29" spans="1:13" ht="60" x14ac:dyDescent="0.25">
      <c r="A29" s="8" t="s">
        <v>75</v>
      </c>
      <c r="B29" s="2">
        <v>803</v>
      </c>
      <c r="C29" s="3" t="s">
        <v>8</v>
      </c>
      <c r="D29" s="3" t="s">
        <v>18</v>
      </c>
      <c r="E29" s="3" t="s">
        <v>57</v>
      </c>
      <c r="F29" s="3"/>
      <c r="G29" s="4">
        <f t="shared" ref="G29:M29" si="10">G30</f>
        <v>210000</v>
      </c>
      <c r="H29" s="4">
        <f t="shared" si="10"/>
        <v>200000</v>
      </c>
      <c r="I29" s="4">
        <f t="shared" si="10"/>
        <v>200000</v>
      </c>
      <c r="J29" s="4">
        <f t="shared" si="10"/>
        <v>200000</v>
      </c>
      <c r="K29" s="4">
        <f t="shared" si="10"/>
        <v>200000</v>
      </c>
      <c r="L29" s="4">
        <f t="shared" si="10"/>
        <v>200000</v>
      </c>
      <c r="M29" s="4">
        <f t="shared" si="10"/>
        <v>200000</v>
      </c>
    </row>
    <row r="30" spans="1:13" ht="60" x14ac:dyDescent="0.25">
      <c r="A30" s="8" t="s">
        <v>58</v>
      </c>
      <c r="B30" s="2">
        <v>803</v>
      </c>
      <c r="C30" s="3" t="s">
        <v>8</v>
      </c>
      <c r="D30" s="3" t="s">
        <v>18</v>
      </c>
      <c r="E30" s="3" t="s">
        <v>57</v>
      </c>
      <c r="F30" s="3" t="s">
        <v>62</v>
      </c>
      <c r="G30" s="4">
        <f>200000+10000</f>
        <v>210000</v>
      </c>
      <c r="H30" s="4">
        <v>200000</v>
      </c>
      <c r="I30" s="4">
        <v>200000</v>
      </c>
      <c r="J30" s="4">
        <v>200000</v>
      </c>
      <c r="K30" s="4">
        <v>200000</v>
      </c>
      <c r="L30" s="4">
        <v>200000</v>
      </c>
      <c r="M30" s="4">
        <v>200000</v>
      </c>
    </row>
    <row r="31" spans="1:13" ht="45" x14ac:dyDescent="0.25">
      <c r="A31" s="8" t="s">
        <v>21</v>
      </c>
      <c r="B31" s="2">
        <v>803</v>
      </c>
      <c r="C31" s="3" t="s">
        <v>8</v>
      </c>
      <c r="D31" s="3" t="s">
        <v>18</v>
      </c>
      <c r="E31" s="3" t="s">
        <v>40</v>
      </c>
      <c r="F31" s="3"/>
      <c r="G31" s="4">
        <f t="shared" ref="G31:M31" si="11">G32</f>
        <v>173000</v>
      </c>
      <c r="H31" s="4">
        <f t="shared" si="11"/>
        <v>200000</v>
      </c>
      <c r="I31" s="4">
        <f t="shared" si="11"/>
        <v>200000</v>
      </c>
      <c r="J31" s="4">
        <f t="shared" si="11"/>
        <v>200000</v>
      </c>
      <c r="K31" s="4">
        <f t="shared" si="11"/>
        <v>200000</v>
      </c>
      <c r="L31" s="4">
        <f t="shared" si="11"/>
        <v>200000</v>
      </c>
      <c r="M31" s="4">
        <f t="shared" si="11"/>
        <v>200000</v>
      </c>
    </row>
    <row r="32" spans="1:13" ht="30" x14ac:dyDescent="0.25">
      <c r="A32" s="8" t="s">
        <v>72</v>
      </c>
      <c r="B32" s="2">
        <v>803</v>
      </c>
      <c r="C32" s="3" t="s">
        <v>8</v>
      </c>
      <c r="D32" s="3" t="s">
        <v>18</v>
      </c>
      <c r="E32" s="3" t="s">
        <v>40</v>
      </c>
      <c r="F32" s="3" t="s">
        <v>61</v>
      </c>
      <c r="G32" s="4">
        <f>160000+10000+3000</f>
        <v>173000</v>
      </c>
      <c r="H32" s="4">
        <v>200000</v>
      </c>
      <c r="I32" s="4">
        <v>200000</v>
      </c>
      <c r="J32" s="4">
        <v>200000</v>
      </c>
      <c r="K32" s="4">
        <v>200000</v>
      </c>
      <c r="L32" s="4">
        <v>200000</v>
      </c>
      <c r="M32" s="4">
        <v>200000</v>
      </c>
    </row>
    <row r="33" spans="1:13" ht="39" x14ac:dyDescent="0.25">
      <c r="A33" s="9" t="s">
        <v>170</v>
      </c>
      <c r="B33" s="2">
        <v>803</v>
      </c>
      <c r="C33" s="3" t="s">
        <v>8</v>
      </c>
      <c r="D33" s="3" t="s">
        <v>18</v>
      </c>
      <c r="E33" s="1" t="s">
        <v>130</v>
      </c>
      <c r="F33" s="3"/>
      <c r="G33" s="4">
        <v>150000</v>
      </c>
      <c r="H33" s="4">
        <v>150000</v>
      </c>
      <c r="I33" s="4">
        <v>150000</v>
      </c>
      <c r="J33" s="4">
        <v>150000</v>
      </c>
      <c r="K33" s="4">
        <v>150000</v>
      </c>
      <c r="L33" s="4">
        <v>150000</v>
      </c>
      <c r="M33" s="4">
        <v>150000</v>
      </c>
    </row>
    <row r="34" spans="1:13" ht="39" x14ac:dyDescent="0.25">
      <c r="A34" s="9" t="s">
        <v>170</v>
      </c>
      <c r="B34" s="2">
        <v>803</v>
      </c>
      <c r="C34" s="3" t="s">
        <v>8</v>
      </c>
      <c r="D34" s="3" t="s">
        <v>18</v>
      </c>
      <c r="E34" s="1" t="s">
        <v>130</v>
      </c>
      <c r="F34" s="3" t="s">
        <v>60</v>
      </c>
      <c r="G34" s="4">
        <v>150000</v>
      </c>
      <c r="H34" s="4">
        <v>150000</v>
      </c>
      <c r="I34" s="4">
        <v>150000</v>
      </c>
      <c r="J34" s="4">
        <v>150000</v>
      </c>
      <c r="K34" s="4">
        <v>150000</v>
      </c>
      <c r="L34" s="4">
        <v>150000</v>
      </c>
      <c r="M34" s="4">
        <v>150000</v>
      </c>
    </row>
    <row r="35" spans="1:13" ht="135" x14ac:dyDescent="0.25">
      <c r="A35" s="8" t="s">
        <v>94</v>
      </c>
      <c r="B35" s="2">
        <v>803</v>
      </c>
      <c r="C35" s="3" t="s">
        <v>8</v>
      </c>
      <c r="D35" s="3" t="s">
        <v>18</v>
      </c>
      <c r="E35" s="3" t="s">
        <v>41</v>
      </c>
      <c r="F35" s="3"/>
      <c r="G35" s="4">
        <f t="shared" ref="G35:M35" si="12">G36</f>
        <v>1712828</v>
      </c>
      <c r="H35" s="4">
        <f t="shared" si="12"/>
        <v>2642351.9900000002</v>
      </c>
      <c r="I35" s="4">
        <f t="shared" si="12"/>
        <v>2666928</v>
      </c>
      <c r="J35" s="4">
        <f t="shared" si="12"/>
        <v>2666928</v>
      </c>
      <c r="K35" s="4">
        <f t="shared" si="12"/>
        <v>2666928</v>
      </c>
      <c r="L35" s="4">
        <f t="shared" si="12"/>
        <v>2666928</v>
      </c>
      <c r="M35" s="4">
        <f t="shared" si="12"/>
        <v>2666928</v>
      </c>
    </row>
    <row r="36" spans="1:13" ht="165" x14ac:dyDescent="0.25">
      <c r="A36" s="8" t="s">
        <v>69</v>
      </c>
      <c r="B36" s="2">
        <v>803</v>
      </c>
      <c r="C36" s="3" t="s">
        <v>8</v>
      </c>
      <c r="D36" s="3" t="s">
        <v>18</v>
      </c>
      <c r="E36" s="3" t="s">
        <v>41</v>
      </c>
      <c r="F36" s="3" t="s">
        <v>59</v>
      </c>
      <c r="G36" s="4">
        <v>1712828</v>
      </c>
      <c r="H36" s="4">
        <v>2642351.9900000002</v>
      </c>
      <c r="I36" s="4">
        <v>2666928</v>
      </c>
      <c r="J36" s="4">
        <v>2666928</v>
      </c>
      <c r="K36" s="4">
        <v>2666928</v>
      </c>
      <c r="L36" s="4">
        <v>2666928</v>
      </c>
      <c r="M36" s="4">
        <v>2666928</v>
      </c>
    </row>
    <row r="37" spans="1:13" ht="195" x14ac:dyDescent="0.25">
      <c r="A37" s="8" t="s">
        <v>47</v>
      </c>
      <c r="B37" s="2">
        <v>803</v>
      </c>
      <c r="C37" s="3" t="s">
        <v>8</v>
      </c>
      <c r="D37" s="3">
        <v>13</v>
      </c>
      <c r="E37" s="3" t="s">
        <v>38</v>
      </c>
      <c r="F37" s="3"/>
      <c r="G37" s="4">
        <f t="shared" ref="G37:M37" si="13">G38+G39</f>
        <v>2602800</v>
      </c>
      <c r="H37" s="4">
        <f t="shared" si="13"/>
        <v>6483400</v>
      </c>
      <c r="I37" s="4">
        <f t="shared" si="13"/>
        <v>6893600</v>
      </c>
      <c r="J37" s="4">
        <f t="shared" si="13"/>
        <v>2960290</v>
      </c>
      <c r="K37" s="4">
        <f t="shared" si="13"/>
        <v>2960290</v>
      </c>
      <c r="L37" s="4">
        <f t="shared" si="13"/>
        <v>7284284</v>
      </c>
      <c r="M37" s="4">
        <f t="shared" si="13"/>
        <v>7185600</v>
      </c>
    </row>
    <row r="38" spans="1:13" ht="165" x14ac:dyDescent="0.25">
      <c r="A38" s="10" t="s">
        <v>69</v>
      </c>
      <c r="B38" s="2">
        <v>803</v>
      </c>
      <c r="C38" s="3" t="s">
        <v>8</v>
      </c>
      <c r="D38" s="3">
        <v>13</v>
      </c>
      <c r="E38" s="3" t="s">
        <v>38</v>
      </c>
      <c r="F38" s="3" t="s">
        <v>59</v>
      </c>
      <c r="G38" s="4">
        <f>2602800-466200</f>
        <v>2136600</v>
      </c>
      <c r="H38" s="4">
        <f>2960290+214190</f>
        <v>3174480</v>
      </c>
      <c r="I38" s="4">
        <v>3264292</v>
      </c>
      <c r="J38" s="4">
        <v>2960290</v>
      </c>
      <c r="K38" s="4">
        <v>2960290</v>
      </c>
      <c r="L38" s="4">
        <v>2960290</v>
      </c>
      <c r="M38" s="4">
        <v>3590721</v>
      </c>
    </row>
    <row r="39" spans="1:13" ht="60" x14ac:dyDescent="0.25">
      <c r="A39" s="10" t="s">
        <v>71</v>
      </c>
      <c r="B39" s="2">
        <v>803</v>
      </c>
      <c r="C39" s="3" t="s">
        <v>8</v>
      </c>
      <c r="D39" s="3" t="s">
        <v>18</v>
      </c>
      <c r="E39" s="3" t="s">
        <v>38</v>
      </c>
      <c r="F39" s="3" t="s">
        <v>60</v>
      </c>
      <c r="G39" s="4">
        <v>466200</v>
      </c>
      <c r="H39" s="4">
        <f>3523110-214190</f>
        <v>3308920</v>
      </c>
      <c r="I39" s="4">
        <v>3629308</v>
      </c>
      <c r="J39" s="7">
        <v>0</v>
      </c>
      <c r="K39" s="7">
        <v>0</v>
      </c>
      <c r="L39" s="7">
        <v>4323994</v>
      </c>
      <c r="M39" s="6">
        <v>3594879</v>
      </c>
    </row>
    <row r="40" spans="1:13" ht="409.5" x14ac:dyDescent="0.25">
      <c r="A40" s="10" t="s">
        <v>55</v>
      </c>
      <c r="B40" s="2">
        <v>803</v>
      </c>
      <c r="C40" s="3" t="s">
        <v>8</v>
      </c>
      <c r="D40" s="3" t="s">
        <v>18</v>
      </c>
      <c r="E40" s="3" t="s">
        <v>56</v>
      </c>
      <c r="F40" s="3"/>
      <c r="G40" s="4">
        <v>3000</v>
      </c>
      <c r="H40" s="4">
        <v>3000</v>
      </c>
      <c r="I40" s="4">
        <v>3000</v>
      </c>
      <c r="M40" s="6">
        <v>3000</v>
      </c>
    </row>
    <row r="41" spans="1:13" ht="60" x14ac:dyDescent="0.25">
      <c r="A41" s="10" t="s">
        <v>71</v>
      </c>
      <c r="B41" s="2">
        <v>803</v>
      </c>
      <c r="C41" s="3" t="s">
        <v>8</v>
      </c>
      <c r="D41" s="3" t="s">
        <v>18</v>
      </c>
      <c r="E41" s="3" t="s">
        <v>56</v>
      </c>
      <c r="F41" s="3" t="s">
        <v>60</v>
      </c>
      <c r="G41" s="4">
        <v>3000</v>
      </c>
      <c r="H41" s="4">
        <v>3000</v>
      </c>
      <c r="I41" s="4">
        <v>3000</v>
      </c>
      <c r="J41" s="4">
        <v>3001</v>
      </c>
      <c r="K41" s="4">
        <v>3002</v>
      </c>
      <c r="L41" s="4">
        <v>3003</v>
      </c>
      <c r="M41" s="4">
        <v>3000</v>
      </c>
    </row>
    <row r="42" spans="1:13" ht="105" x14ac:dyDescent="0.25">
      <c r="A42" s="10" t="s">
        <v>233</v>
      </c>
      <c r="B42" s="2">
        <v>803</v>
      </c>
      <c r="C42" s="3" t="s">
        <v>8</v>
      </c>
      <c r="D42" s="3" t="s">
        <v>18</v>
      </c>
      <c r="E42" s="3" t="s">
        <v>232</v>
      </c>
      <c r="F42" s="3" t="s">
        <v>59</v>
      </c>
      <c r="G42" s="4"/>
      <c r="H42" s="4">
        <v>364560</v>
      </c>
      <c r="I42" s="4">
        <v>0</v>
      </c>
      <c r="J42" s="4"/>
      <c r="K42" s="4"/>
      <c r="L42" s="4"/>
      <c r="M42" s="4">
        <v>0</v>
      </c>
    </row>
    <row r="43" spans="1:13" ht="30" x14ac:dyDescent="0.25">
      <c r="A43" s="10" t="s">
        <v>221</v>
      </c>
      <c r="B43" s="2">
        <v>803</v>
      </c>
      <c r="C43" s="3" t="s">
        <v>14</v>
      </c>
      <c r="D43" s="3" t="s">
        <v>9</v>
      </c>
      <c r="E43" s="3" t="s">
        <v>219</v>
      </c>
      <c r="F43" s="3"/>
      <c r="G43" s="4"/>
      <c r="H43" s="4">
        <f>H44</f>
        <v>2658187.62</v>
      </c>
      <c r="I43" s="4">
        <v>0</v>
      </c>
      <c r="J43" s="4"/>
      <c r="K43" s="4"/>
      <c r="L43" s="4"/>
      <c r="M43" s="4">
        <v>0</v>
      </c>
    </row>
    <row r="44" spans="1:13" ht="105" customHeight="1" x14ac:dyDescent="0.25">
      <c r="A44" s="10" t="s">
        <v>218</v>
      </c>
      <c r="B44" s="2">
        <v>803</v>
      </c>
      <c r="C44" s="3" t="s">
        <v>14</v>
      </c>
      <c r="D44" s="3" t="s">
        <v>9</v>
      </c>
      <c r="E44" s="3" t="s">
        <v>220</v>
      </c>
      <c r="F44" s="3" t="s">
        <v>60</v>
      </c>
      <c r="G44" s="4"/>
      <c r="H44" s="4">
        <v>2658187.62</v>
      </c>
      <c r="I44" s="4">
        <v>0</v>
      </c>
      <c r="J44" s="4"/>
      <c r="K44" s="4"/>
      <c r="L44" s="4"/>
      <c r="M44" s="4">
        <v>0</v>
      </c>
    </row>
    <row r="45" spans="1:13" ht="57.75" x14ac:dyDescent="0.25">
      <c r="A45" s="25" t="s">
        <v>76</v>
      </c>
      <c r="B45" s="22">
        <v>803</v>
      </c>
      <c r="C45" s="23" t="s">
        <v>9</v>
      </c>
      <c r="D45" s="23"/>
      <c r="E45" s="23"/>
      <c r="F45" s="23"/>
      <c r="G45" s="5">
        <f t="shared" ref="G45:M45" si="14">G46</f>
        <v>2516103</v>
      </c>
      <c r="H45" s="5">
        <f t="shared" si="14"/>
        <v>4584942</v>
      </c>
      <c r="I45" s="5">
        <f t="shared" si="14"/>
        <v>4398615</v>
      </c>
      <c r="J45" s="5">
        <f t="shared" si="14"/>
        <v>4398615</v>
      </c>
      <c r="K45" s="5">
        <f t="shared" si="14"/>
        <v>4398615</v>
      </c>
      <c r="L45" s="5">
        <f t="shared" si="14"/>
        <v>4398615</v>
      </c>
      <c r="M45" s="5">
        <f t="shared" si="14"/>
        <v>4398615</v>
      </c>
    </row>
    <row r="46" spans="1:13" ht="90" x14ac:dyDescent="0.25">
      <c r="A46" s="10" t="s">
        <v>77</v>
      </c>
      <c r="B46" s="2">
        <v>803</v>
      </c>
      <c r="C46" s="3" t="s">
        <v>9</v>
      </c>
      <c r="D46" s="3" t="s">
        <v>68</v>
      </c>
      <c r="E46" s="3"/>
      <c r="F46" s="3"/>
      <c r="G46" s="4">
        <f t="shared" ref="G46:M46" si="15">G47+G49</f>
        <v>2516103</v>
      </c>
      <c r="H46" s="4">
        <f>H47+H49+H51</f>
        <v>4584942</v>
      </c>
      <c r="I46" s="4">
        <f t="shared" si="15"/>
        <v>4398615</v>
      </c>
      <c r="J46" s="4">
        <f t="shared" si="15"/>
        <v>4398615</v>
      </c>
      <c r="K46" s="4">
        <f t="shared" si="15"/>
        <v>4398615</v>
      </c>
      <c r="L46" s="4">
        <f t="shared" si="15"/>
        <v>4398615</v>
      </c>
      <c r="M46" s="4">
        <f t="shared" si="15"/>
        <v>4398615</v>
      </c>
    </row>
    <row r="47" spans="1:13" ht="135" x14ac:dyDescent="0.25">
      <c r="A47" s="10" t="s">
        <v>79</v>
      </c>
      <c r="B47" s="2">
        <v>803</v>
      </c>
      <c r="C47" s="3" t="s">
        <v>9</v>
      </c>
      <c r="D47" s="3" t="s">
        <v>68</v>
      </c>
      <c r="E47" s="3" t="s">
        <v>42</v>
      </c>
      <c r="F47" s="3"/>
      <c r="G47" s="4">
        <f t="shared" ref="G47:M47" si="16">G48</f>
        <v>864692</v>
      </c>
      <c r="H47" s="4">
        <f t="shared" si="16"/>
        <v>844811</v>
      </c>
      <c r="I47" s="4">
        <f t="shared" si="16"/>
        <v>844811</v>
      </c>
      <c r="J47" s="4">
        <f t="shared" si="16"/>
        <v>844811</v>
      </c>
      <c r="K47" s="4">
        <f t="shared" si="16"/>
        <v>844811</v>
      </c>
      <c r="L47" s="4">
        <f t="shared" si="16"/>
        <v>844811</v>
      </c>
      <c r="M47" s="4">
        <f t="shared" si="16"/>
        <v>844811</v>
      </c>
    </row>
    <row r="48" spans="1:13" ht="165" x14ac:dyDescent="0.25">
      <c r="A48" s="10" t="s">
        <v>69</v>
      </c>
      <c r="B48" s="2">
        <v>803</v>
      </c>
      <c r="C48" s="3" t="s">
        <v>9</v>
      </c>
      <c r="D48" s="3" t="s">
        <v>68</v>
      </c>
      <c r="E48" s="3" t="s">
        <v>42</v>
      </c>
      <c r="F48" s="3" t="s">
        <v>59</v>
      </c>
      <c r="G48" s="4">
        <f>999320-134628</f>
        <v>864692</v>
      </c>
      <c r="H48" s="4">
        <v>844811</v>
      </c>
      <c r="I48" s="4">
        <v>844811</v>
      </c>
      <c r="J48" s="4">
        <v>844811</v>
      </c>
      <c r="K48" s="4">
        <v>844811</v>
      </c>
      <c r="L48" s="4">
        <v>844811</v>
      </c>
      <c r="M48" s="4">
        <v>844811</v>
      </c>
    </row>
    <row r="49" spans="1:13" ht="195" x14ac:dyDescent="0.25">
      <c r="A49" s="10" t="s">
        <v>78</v>
      </c>
      <c r="B49" s="2">
        <v>803</v>
      </c>
      <c r="C49" s="3" t="s">
        <v>9</v>
      </c>
      <c r="D49" s="3" t="s">
        <v>68</v>
      </c>
      <c r="E49" s="3" t="s">
        <v>169</v>
      </c>
      <c r="F49" s="3"/>
      <c r="G49" s="4">
        <f t="shared" ref="G49:M49" si="17">G50</f>
        <v>1651411</v>
      </c>
      <c r="H49" s="4">
        <f t="shared" si="17"/>
        <v>3694561</v>
      </c>
      <c r="I49" s="4">
        <f t="shared" si="17"/>
        <v>3553804</v>
      </c>
      <c r="J49" s="4">
        <f t="shared" si="17"/>
        <v>3553804</v>
      </c>
      <c r="K49" s="4">
        <f t="shared" si="17"/>
        <v>3553804</v>
      </c>
      <c r="L49" s="4">
        <f t="shared" si="17"/>
        <v>3553804</v>
      </c>
      <c r="M49" s="4">
        <f t="shared" si="17"/>
        <v>3553804</v>
      </c>
    </row>
    <row r="50" spans="1:13" ht="165" x14ac:dyDescent="0.25">
      <c r="A50" s="10" t="s">
        <v>69</v>
      </c>
      <c r="B50" s="2">
        <v>803</v>
      </c>
      <c r="C50" s="3" t="s">
        <v>9</v>
      </c>
      <c r="D50" s="3" t="s">
        <v>68</v>
      </c>
      <c r="E50" s="3" t="s">
        <v>169</v>
      </c>
      <c r="F50" s="3" t="s">
        <v>59</v>
      </c>
      <c r="G50" s="4">
        <f>1587106+64305</f>
        <v>1651411</v>
      </c>
      <c r="H50" s="4">
        <f>3553804+140757</f>
        <v>3694561</v>
      </c>
      <c r="I50" s="4">
        <v>3553804</v>
      </c>
      <c r="J50" s="4">
        <v>3553804</v>
      </c>
      <c r="K50" s="4">
        <v>3553804</v>
      </c>
      <c r="L50" s="4">
        <v>3553804</v>
      </c>
      <c r="M50" s="4">
        <v>3553804</v>
      </c>
    </row>
    <row r="51" spans="1:13" ht="105" x14ac:dyDescent="0.25">
      <c r="A51" s="10" t="s">
        <v>233</v>
      </c>
      <c r="B51" s="2">
        <v>803</v>
      </c>
      <c r="C51" s="3" t="s">
        <v>9</v>
      </c>
      <c r="D51" s="3" t="s">
        <v>68</v>
      </c>
      <c r="E51" s="3" t="s">
        <v>232</v>
      </c>
      <c r="F51" s="3" t="s">
        <v>59</v>
      </c>
      <c r="G51" s="4"/>
      <c r="H51" s="4">
        <v>45570</v>
      </c>
      <c r="I51" s="4">
        <v>0</v>
      </c>
      <c r="J51" s="4"/>
      <c r="K51" s="4"/>
      <c r="L51" s="4"/>
      <c r="M51" s="4">
        <v>0</v>
      </c>
    </row>
    <row r="52" spans="1:13" ht="29.25" x14ac:dyDescent="0.25">
      <c r="A52" s="25" t="s">
        <v>80</v>
      </c>
      <c r="B52" s="22">
        <v>803</v>
      </c>
      <c r="C52" s="23" t="s">
        <v>10</v>
      </c>
      <c r="D52" s="23"/>
      <c r="E52" s="23"/>
      <c r="F52" s="23"/>
      <c r="G52" s="5" t="e">
        <f t="shared" ref="G52:M53" si="18">G53</f>
        <v>#REF!</v>
      </c>
      <c r="H52" s="5">
        <f t="shared" si="18"/>
        <v>10193845.58</v>
      </c>
      <c r="I52" s="5">
        <f t="shared" si="18"/>
        <v>4835229</v>
      </c>
      <c r="J52" s="5">
        <f t="shared" si="18"/>
        <v>4835229</v>
      </c>
      <c r="K52" s="5">
        <f t="shared" si="18"/>
        <v>4835229</v>
      </c>
      <c r="L52" s="5">
        <f t="shared" si="18"/>
        <v>4835229</v>
      </c>
      <c r="M52" s="5">
        <f t="shared" si="18"/>
        <v>4835229</v>
      </c>
    </row>
    <row r="53" spans="1:13" ht="30" x14ac:dyDescent="0.25">
      <c r="A53" s="10" t="s">
        <v>82</v>
      </c>
      <c r="B53" s="2">
        <v>803</v>
      </c>
      <c r="C53" s="3" t="s">
        <v>10</v>
      </c>
      <c r="D53" s="3" t="s">
        <v>11</v>
      </c>
      <c r="E53" s="3"/>
      <c r="F53" s="3"/>
      <c r="G53" s="4" t="e">
        <f t="shared" si="18"/>
        <v>#REF!</v>
      </c>
      <c r="H53" s="4">
        <f t="shared" si="18"/>
        <v>10193845.58</v>
      </c>
      <c r="I53" s="4">
        <f t="shared" si="18"/>
        <v>4835229</v>
      </c>
      <c r="J53" s="4">
        <f t="shared" si="18"/>
        <v>4835229</v>
      </c>
      <c r="K53" s="4">
        <f t="shared" si="18"/>
        <v>4835229</v>
      </c>
      <c r="L53" s="4">
        <f t="shared" si="18"/>
        <v>4835229</v>
      </c>
      <c r="M53" s="4">
        <f t="shared" si="18"/>
        <v>4835229</v>
      </c>
    </row>
    <row r="54" spans="1:13" ht="210" x14ac:dyDescent="0.25">
      <c r="A54" s="10" t="s">
        <v>81</v>
      </c>
      <c r="B54" s="2">
        <v>803</v>
      </c>
      <c r="C54" s="3" t="s">
        <v>10</v>
      </c>
      <c r="D54" s="3" t="s">
        <v>11</v>
      </c>
      <c r="E54" s="3" t="s">
        <v>152</v>
      </c>
      <c r="F54" s="3"/>
      <c r="G54" s="4" t="e">
        <f>G55+G56+#REF!</f>
        <v>#REF!</v>
      </c>
      <c r="H54" s="4">
        <f>H55+H56+H57</f>
        <v>10193845.58</v>
      </c>
      <c r="I54" s="4">
        <f t="shared" ref="I54:M54" si="19">I55+I56</f>
        <v>4835229</v>
      </c>
      <c r="J54" s="4">
        <f t="shared" si="19"/>
        <v>4835229</v>
      </c>
      <c r="K54" s="4">
        <f t="shared" si="19"/>
        <v>4835229</v>
      </c>
      <c r="L54" s="4">
        <f t="shared" si="19"/>
        <v>4835229</v>
      </c>
      <c r="M54" s="4">
        <f t="shared" si="19"/>
        <v>4835229</v>
      </c>
    </row>
    <row r="55" spans="1:13" ht="165" x14ac:dyDescent="0.25">
      <c r="A55" s="8" t="s">
        <v>69</v>
      </c>
      <c r="B55" s="2">
        <v>803</v>
      </c>
      <c r="C55" s="3" t="s">
        <v>10</v>
      </c>
      <c r="D55" s="3" t="s">
        <v>11</v>
      </c>
      <c r="E55" s="3" t="s">
        <v>152</v>
      </c>
      <c r="F55" s="3" t="s">
        <v>59</v>
      </c>
      <c r="G55" s="4">
        <f>3255858+132147</f>
        <v>3388005</v>
      </c>
      <c r="H55" s="4">
        <v>1317461.58</v>
      </c>
      <c r="I55" s="4">
        <v>3581745</v>
      </c>
      <c r="J55" s="4">
        <v>3581745</v>
      </c>
      <c r="K55" s="4">
        <v>3581745</v>
      </c>
      <c r="L55" s="4">
        <v>3581745</v>
      </c>
      <c r="M55" s="4">
        <v>3581745</v>
      </c>
    </row>
    <row r="56" spans="1:13" ht="60" x14ac:dyDescent="0.25">
      <c r="A56" s="8" t="s">
        <v>146</v>
      </c>
      <c r="B56" s="2">
        <v>803</v>
      </c>
      <c r="C56" s="3" t="s">
        <v>10</v>
      </c>
      <c r="D56" s="3" t="s">
        <v>11</v>
      </c>
      <c r="E56" s="3" t="s">
        <v>149</v>
      </c>
      <c r="F56" s="3" t="s">
        <v>60</v>
      </c>
      <c r="G56" s="4">
        <f>239300+300000</f>
        <v>539300</v>
      </c>
      <c r="H56" s="4">
        <v>1253484</v>
      </c>
      <c r="I56" s="4">
        <v>1253484</v>
      </c>
      <c r="J56" s="4">
        <v>1253484</v>
      </c>
      <c r="K56" s="4">
        <v>1253484</v>
      </c>
      <c r="L56" s="4">
        <v>1253484</v>
      </c>
      <c r="M56" s="4">
        <v>1253484</v>
      </c>
    </row>
    <row r="57" spans="1:13" ht="75" x14ac:dyDescent="0.25">
      <c r="A57" s="8" t="s">
        <v>198</v>
      </c>
      <c r="B57" s="2">
        <v>803</v>
      </c>
      <c r="C57" s="3" t="s">
        <v>10</v>
      </c>
      <c r="D57" s="3" t="s">
        <v>19</v>
      </c>
      <c r="E57" s="3" t="s">
        <v>197</v>
      </c>
      <c r="F57" s="3" t="s">
        <v>60</v>
      </c>
      <c r="G57" s="4"/>
      <c r="H57" s="4">
        <v>7622900</v>
      </c>
      <c r="I57" s="4">
        <v>0</v>
      </c>
      <c r="M57" s="6">
        <v>0</v>
      </c>
    </row>
    <row r="58" spans="1:13" s="12" customFormat="1" ht="42.75" x14ac:dyDescent="0.2">
      <c r="A58" s="21" t="s">
        <v>143</v>
      </c>
      <c r="B58" s="22">
        <v>803</v>
      </c>
      <c r="C58" s="23" t="s">
        <v>11</v>
      </c>
      <c r="D58" s="23"/>
      <c r="E58" s="23"/>
      <c r="F58" s="23"/>
      <c r="G58" s="5" t="e">
        <f>G59+G66+#REF!+#REF!+#REF!+#REF!+#REF!+#REF!+#REF!</f>
        <v>#REF!</v>
      </c>
      <c r="H58" s="5">
        <f t="shared" ref="H58:M58" si="20">H59</f>
        <v>7300176.3799999999</v>
      </c>
      <c r="I58" s="5">
        <f t="shared" si="20"/>
        <v>6600004.3799999999</v>
      </c>
      <c r="J58" s="5">
        <f t="shared" si="20"/>
        <v>6600004.3799999999</v>
      </c>
      <c r="K58" s="5">
        <f t="shared" si="20"/>
        <v>6600004.3799999999</v>
      </c>
      <c r="L58" s="5">
        <f t="shared" si="20"/>
        <v>6600004.3799999999</v>
      </c>
      <c r="M58" s="5">
        <f t="shared" si="20"/>
        <v>6600004.3799999999</v>
      </c>
    </row>
    <row r="59" spans="1:13" ht="45" x14ac:dyDescent="0.25">
      <c r="A59" s="8" t="s">
        <v>83</v>
      </c>
      <c r="B59" s="2">
        <v>803</v>
      </c>
      <c r="C59" s="3" t="s">
        <v>11</v>
      </c>
      <c r="D59" s="3" t="s">
        <v>11</v>
      </c>
      <c r="E59" s="3"/>
      <c r="F59" s="3"/>
      <c r="G59" s="4">
        <f>G64</f>
        <v>3168256</v>
      </c>
      <c r="H59" s="4">
        <f>H60+H64+H66+H67</f>
        <v>7300176.3799999999</v>
      </c>
      <c r="I59" s="4">
        <f>I60+I61+I62+I63+I64+I66</f>
        <v>6600004.3799999999</v>
      </c>
      <c r="J59" s="4">
        <f t="shared" ref="J59:M59" si="21">J60+J61+J62+J63+J64+J66</f>
        <v>6600004.3799999999</v>
      </c>
      <c r="K59" s="4">
        <f t="shared" si="21"/>
        <v>6600004.3799999999</v>
      </c>
      <c r="L59" s="4">
        <f t="shared" si="21"/>
        <v>6600004.3799999999</v>
      </c>
      <c r="M59" s="4">
        <f t="shared" si="21"/>
        <v>6600004.3799999999</v>
      </c>
    </row>
    <row r="60" spans="1:13" ht="60" x14ac:dyDescent="0.25">
      <c r="A60" s="8" t="s">
        <v>192</v>
      </c>
      <c r="B60" s="2">
        <v>803</v>
      </c>
      <c r="C60" s="3" t="s">
        <v>11</v>
      </c>
      <c r="D60" s="3" t="s">
        <v>8</v>
      </c>
      <c r="E60" s="3" t="s">
        <v>191</v>
      </c>
      <c r="F60" s="3" t="s">
        <v>60</v>
      </c>
      <c r="G60" s="4"/>
      <c r="H60" s="4">
        <v>540000</v>
      </c>
      <c r="I60" s="4">
        <v>0</v>
      </c>
      <c r="J60" s="4"/>
      <c r="K60" s="4"/>
      <c r="L60" s="4"/>
      <c r="M60" s="4">
        <v>0</v>
      </c>
    </row>
    <row r="61" spans="1:13" ht="60" hidden="1" x14ac:dyDescent="0.25">
      <c r="A61" s="8" t="s">
        <v>192</v>
      </c>
      <c r="B61" s="2">
        <v>803</v>
      </c>
      <c r="C61" s="3" t="s">
        <v>11</v>
      </c>
      <c r="D61" s="3" t="s">
        <v>8</v>
      </c>
      <c r="E61" s="3" t="s">
        <v>191</v>
      </c>
      <c r="F61" s="3" t="s">
        <v>61</v>
      </c>
      <c r="G61" s="4"/>
      <c r="H61" s="4">
        <v>0</v>
      </c>
      <c r="I61" s="4">
        <v>0</v>
      </c>
      <c r="J61" s="4"/>
      <c r="K61" s="4"/>
      <c r="L61" s="4"/>
      <c r="M61" s="4">
        <v>0</v>
      </c>
    </row>
    <row r="62" spans="1:13" ht="115.5" hidden="1" customHeight="1" x14ac:dyDescent="0.25">
      <c r="A62" s="8" t="s">
        <v>190</v>
      </c>
      <c r="B62" s="2">
        <v>803</v>
      </c>
      <c r="C62" s="3" t="s">
        <v>11</v>
      </c>
      <c r="D62" s="3" t="s">
        <v>14</v>
      </c>
      <c r="E62" s="3" t="s">
        <v>189</v>
      </c>
      <c r="F62" s="3" t="s">
        <v>131</v>
      </c>
      <c r="G62" s="4"/>
      <c r="H62" s="4">
        <v>0</v>
      </c>
      <c r="I62" s="4">
        <v>0</v>
      </c>
      <c r="J62" s="4"/>
      <c r="K62" s="4"/>
      <c r="L62" s="4"/>
      <c r="M62" s="4">
        <v>0</v>
      </c>
    </row>
    <row r="63" spans="1:13" ht="135" hidden="1" x14ac:dyDescent="0.25">
      <c r="A63" s="8" t="s">
        <v>178</v>
      </c>
      <c r="B63" s="2">
        <v>803</v>
      </c>
      <c r="C63" s="3" t="s">
        <v>11</v>
      </c>
      <c r="D63" s="3" t="s">
        <v>9</v>
      </c>
      <c r="E63" s="3" t="s">
        <v>177</v>
      </c>
      <c r="F63" s="3" t="s">
        <v>131</v>
      </c>
      <c r="G63" s="4"/>
      <c r="H63" s="4">
        <v>0</v>
      </c>
      <c r="I63" s="4">
        <v>0</v>
      </c>
      <c r="J63" s="4"/>
      <c r="K63" s="4"/>
      <c r="L63" s="4"/>
      <c r="M63" s="4">
        <v>0</v>
      </c>
    </row>
    <row r="64" spans="1:13" ht="135" x14ac:dyDescent="0.25">
      <c r="A64" s="8" t="s">
        <v>84</v>
      </c>
      <c r="B64" s="2">
        <v>803</v>
      </c>
      <c r="C64" s="3" t="s">
        <v>11</v>
      </c>
      <c r="D64" s="3" t="s">
        <v>11</v>
      </c>
      <c r="E64" s="3" t="s">
        <v>43</v>
      </c>
      <c r="F64" s="3"/>
      <c r="G64" s="4">
        <f t="shared" ref="G64:M64" si="22">G65</f>
        <v>3168256</v>
      </c>
      <c r="H64" s="4">
        <f t="shared" si="22"/>
        <v>3203130</v>
      </c>
      <c r="I64" s="4">
        <f t="shared" si="22"/>
        <v>3179668</v>
      </c>
      <c r="J64" s="4">
        <f t="shared" si="22"/>
        <v>3179668</v>
      </c>
      <c r="K64" s="4">
        <f t="shared" si="22"/>
        <v>3179668</v>
      </c>
      <c r="L64" s="4">
        <f t="shared" si="22"/>
        <v>3179668</v>
      </c>
      <c r="M64" s="4">
        <f t="shared" si="22"/>
        <v>3179668</v>
      </c>
    </row>
    <row r="65" spans="1:13" ht="165" x14ac:dyDescent="0.25">
      <c r="A65" s="8" t="s">
        <v>69</v>
      </c>
      <c r="B65" s="2">
        <v>803</v>
      </c>
      <c r="C65" s="3" t="s">
        <v>11</v>
      </c>
      <c r="D65" s="3" t="s">
        <v>11</v>
      </c>
      <c r="E65" s="3" t="s">
        <v>43</v>
      </c>
      <c r="F65" s="3" t="s">
        <v>59</v>
      </c>
      <c r="G65" s="4">
        <f>3039157+129099</f>
        <v>3168256</v>
      </c>
      <c r="H65" s="4">
        <f>3179668+23462</f>
        <v>3203130</v>
      </c>
      <c r="I65" s="4">
        <v>3179668</v>
      </c>
      <c r="J65" s="4">
        <v>3179668</v>
      </c>
      <c r="K65" s="4">
        <v>3179668</v>
      </c>
      <c r="L65" s="4">
        <v>3179668</v>
      </c>
      <c r="M65" s="4">
        <v>3179668</v>
      </c>
    </row>
    <row r="66" spans="1:13" ht="135" x14ac:dyDescent="0.25">
      <c r="A66" s="8" t="s">
        <v>162</v>
      </c>
      <c r="B66" s="2">
        <v>803</v>
      </c>
      <c r="C66" s="3" t="s">
        <v>11</v>
      </c>
      <c r="D66" s="3" t="s">
        <v>11</v>
      </c>
      <c r="E66" s="3" t="s">
        <v>194</v>
      </c>
      <c r="F66" s="3" t="s">
        <v>60</v>
      </c>
      <c r="G66" s="4">
        <f>6801796</f>
        <v>6801796</v>
      </c>
      <c r="H66" s="4">
        <f>3350000+70336.38</f>
        <v>3420336.38</v>
      </c>
      <c r="I66" s="4">
        <f t="shared" ref="I66:M66" si="23">3350000+70336.38</f>
        <v>3420336.38</v>
      </c>
      <c r="J66" s="4">
        <f t="shared" si="23"/>
        <v>3420336.38</v>
      </c>
      <c r="K66" s="4">
        <f t="shared" si="23"/>
        <v>3420336.38</v>
      </c>
      <c r="L66" s="4">
        <f t="shared" si="23"/>
        <v>3420336.38</v>
      </c>
      <c r="M66" s="4">
        <f t="shared" si="23"/>
        <v>3420336.38</v>
      </c>
    </row>
    <row r="67" spans="1:13" ht="105" x14ac:dyDescent="0.25">
      <c r="A67" s="8" t="s">
        <v>233</v>
      </c>
      <c r="B67" s="2">
        <v>803</v>
      </c>
      <c r="C67" s="3" t="s">
        <v>11</v>
      </c>
      <c r="D67" s="3" t="s">
        <v>11</v>
      </c>
      <c r="E67" s="3" t="s">
        <v>232</v>
      </c>
      <c r="F67" s="3" t="s">
        <v>59</v>
      </c>
      <c r="G67" s="4">
        <v>136710</v>
      </c>
      <c r="H67" s="4">
        <v>136710</v>
      </c>
      <c r="I67" s="4">
        <v>0</v>
      </c>
      <c r="J67" s="4"/>
      <c r="K67" s="4"/>
      <c r="L67" s="4"/>
      <c r="M67" s="4">
        <v>0</v>
      </c>
    </row>
    <row r="68" spans="1:13" ht="60" x14ac:dyDescent="0.25">
      <c r="A68" s="10" t="s">
        <v>163</v>
      </c>
      <c r="B68" s="2">
        <v>803</v>
      </c>
      <c r="C68" s="3" t="s">
        <v>13</v>
      </c>
      <c r="D68" s="3" t="s">
        <v>13</v>
      </c>
      <c r="E68" s="3" t="s">
        <v>161</v>
      </c>
      <c r="F68" s="3" t="s">
        <v>60</v>
      </c>
      <c r="G68" s="4">
        <v>100000</v>
      </c>
      <c r="H68" s="4">
        <v>150000</v>
      </c>
      <c r="I68" s="4">
        <v>150000</v>
      </c>
      <c r="J68" s="4">
        <v>150000</v>
      </c>
      <c r="K68" s="4">
        <v>150000</v>
      </c>
      <c r="L68" s="4">
        <v>150000</v>
      </c>
      <c r="M68" s="4">
        <v>150000</v>
      </c>
    </row>
    <row r="69" spans="1:13" ht="30" x14ac:dyDescent="0.25">
      <c r="A69" s="10" t="s">
        <v>193</v>
      </c>
      <c r="B69" s="2">
        <v>803</v>
      </c>
      <c r="C69" s="3" t="s">
        <v>13</v>
      </c>
      <c r="D69" s="3" t="s">
        <v>13</v>
      </c>
      <c r="E69" s="3" t="s">
        <v>153</v>
      </c>
      <c r="F69" s="3" t="s">
        <v>60</v>
      </c>
      <c r="G69" s="4"/>
      <c r="H69" s="4">
        <v>200000</v>
      </c>
      <c r="I69" s="4">
        <v>200000</v>
      </c>
      <c r="J69" s="4"/>
      <c r="K69" s="4"/>
      <c r="L69" s="4"/>
      <c r="M69" s="4">
        <v>200000</v>
      </c>
    </row>
    <row r="70" spans="1:13" ht="90" x14ac:dyDescent="0.25">
      <c r="A70" s="10" t="s">
        <v>164</v>
      </c>
      <c r="B70" s="2">
        <v>803</v>
      </c>
      <c r="C70" s="3" t="s">
        <v>13</v>
      </c>
      <c r="D70" s="3" t="s">
        <v>13</v>
      </c>
      <c r="E70" s="3" t="s">
        <v>123</v>
      </c>
      <c r="F70" s="3" t="s">
        <v>60</v>
      </c>
      <c r="G70" s="4">
        <v>150000</v>
      </c>
      <c r="H70" s="4">
        <v>150000</v>
      </c>
      <c r="I70" s="4">
        <v>150000</v>
      </c>
      <c r="J70" s="4">
        <v>150000</v>
      </c>
      <c r="K70" s="4">
        <v>150000</v>
      </c>
      <c r="L70" s="4">
        <v>150000</v>
      </c>
      <c r="M70" s="4">
        <v>150000</v>
      </c>
    </row>
    <row r="71" spans="1:13" ht="30" hidden="1" x14ac:dyDescent="0.25">
      <c r="A71" s="10" t="s">
        <v>184</v>
      </c>
      <c r="B71" s="2">
        <v>803</v>
      </c>
      <c r="C71" s="3" t="s">
        <v>16</v>
      </c>
      <c r="D71" s="3" t="s">
        <v>8</v>
      </c>
      <c r="E71" s="3" t="s">
        <v>183</v>
      </c>
      <c r="F71" s="3" t="s">
        <v>60</v>
      </c>
      <c r="G71" s="4"/>
      <c r="H71" s="4">
        <v>0</v>
      </c>
      <c r="I71" s="4">
        <v>0</v>
      </c>
      <c r="J71" s="4"/>
      <c r="K71" s="4"/>
      <c r="L71" s="4"/>
      <c r="M71" s="4">
        <v>0</v>
      </c>
    </row>
    <row r="72" spans="1:13" ht="135" x14ac:dyDescent="0.25">
      <c r="A72" s="8" t="s">
        <v>84</v>
      </c>
      <c r="B72" s="2">
        <v>803</v>
      </c>
      <c r="C72" s="3" t="s">
        <v>16</v>
      </c>
      <c r="D72" s="3" t="s">
        <v>10</v>
      </c>
      <c r="E72" s="3" t="s">
        <v>34</v>
      </c>
      <c r="F72" s="3"/>
      <c r="G72" s="4" t="e">
        <f>G73+#REF!</f>
        <v>#REF!</v>
      </c>
      <c r="H72" s="4">
        <f>H73+H71+H74</f>
        <v>821322</v>
      </c>
      <c r="I72" s="4">
        <f t="shared" ref="I72:M72" si="24">I73+I71</f>
        <v>775752</v>
      </c>
      <c r="J72" s="4">
        <f t="shared" si="24"/>
        <v>775752</v>
      </c>
      <c r="K72" s="4">
        <f t="shared" si="24"/>
        <v>775752</v>
      </c>
      <c r="L72" s="4">
        <f t="shared" si="24"/>
        <v>775752</v>
      </c>
      <c r="M72" s="4">
        <f t="shared" si="24"/>
        <v>775752</v>
      </c>
    </row>
    <row r="73" spans="1:13" ht="165" x14ac:dyDescent="0.25">
      <c r="A73" s="10" t="s">
        <v>69</v>
      </c>
      <c r="B73" s="2">
        <v>803</v>
      </c>
      <c r="C73" s="3" t="s">
        <v>16</v>
      </c>
      <c r="D73" s="3" t="s">
        <v>10</v>
      </c>
      <c r="E73" s="3" t="s">
        <v>34</v>
      </c>
      <c r="F73" s="3" t="s">
        <v>59</v>
      </c>
      <c r="G73" s="4">
        <v>705170</v>
      </c>
      <c r="H73" s="4">
        <v>775752</v>
      </c>
      <c r="I73" s="4">
        <v>775752</v>
      </c>
      <c r="J73" s="4">
        <v>775752</v>
      </c>
      <c r="K73" s="4">
        <v>775752</v>
      </c>
      <c r="L73" s="4">
        <v>775752</v>
      </c>
      <c r="M73" s="4">
        <v>775752</v>
      </c>
    </row>
    <row r="74" spans="1:13" ht="105" x14ac:dyDescent="0.25">
      <c r="A74" s="10" t="s">
        <v>233</v>
      </c>
      <c r="B74" s="2">
        <v>803</v>
      </c>
      <c r="C74" s="3" t="s">
        <v>16</v>
      </c>
      <c r="D74" s="3" t="s">
        <v>10</v>
      </c>
      <c r="E74" s="3" t="s">
        <v>232</v>
      </c>
      <c r="F74" s="3" t="s">
        <v>59</v>
      </c>
      <c r="G74" s="4"/>
      <c r="H74" s="4">
        <v>45570</v>
      </c>
      <c r="I74" s="4">
        <v>0</v>
      </c>
      <c r="J74" s="4"/>
      <c r="K74" s="4"/>
      <c r="L74" s="4"/>
      <c r="M74" s="4">
        <v>0</v>
      </c>
    </row>
    <row r="75" spans="1:13" ht="29.25" x14ac:dyDescent="0.25">
      <c r="A75" s="25" t="s">
        <v>92</v>
      </c>
      <c r="B75" s="22">
        <v>803</v>
      </c>
      <c r="C75" s="23" t="s">
        <v>68</v>
      </c>
      <c r="D75" s="23"/>
      <c r="E75" s="23"/>
      <c r="F75" s="23"/>
      <c r="G75" s="5" t="e">
        <f t="shared" ref="G75:M75" si="25">G76+G78</f>
        <v>#REF!</v>
      </c>
      <c r="H75" s="5">
        <f>H76+H78+H81</f>
        <v>5584320</v>
      </c>
      <c r="I75" s="5">
        <f t="shared" si="25"/>
        <v>4892835</v>
      </c>
      <c r="J75" s="5">
        <f t="shared" si="25"/>
        <v>5774301</v>
      </c>
      <c r="K75" s="5">
        <f t="shared" si="25"/>
        <v>5774302</v>
      </c>
      <c r="L75" s="5">
        <f t="shared" si="25"/>
        <v>5774303</v>
      </c>
      <c r="M75" s="5">
        <f t="shared" si="25"/>
        <v>4892835</v>
      </c>
    </row>
    <row r="76" spans="1:13" ht="60" x14ac:dyDescent="0.25">
      <c r="A76" s="10" t="s">
        <v>22</v>
      </c>
      <c r="B76" s="2">
        <v>803</v>
      </c>
      <c r="C76" s="3">
        <v>10</v>
      </c>
      <c r="D76" s="3" t="s">
        <v>8</v>
      </c>
      <c r="E76" s="3" t="s">
        <v>44</v>
      </c>
      <c r="F76" s="3"/>
      <c r="G76" s="4">
        <f t="shared" ref="G76:M76" si="26">G77</f>
        <v>4573475</v>
      </c>
      <c r="H76" s="4">
        <f t="shared" si="26"/>
        <v>4462080</v>
      </c>
      <c r="I76" s="4">
        <f t="shared" si="26"/>
        <v>3861735</v>
      </c>
      <c r="J76" s="4">
        <f t="shared" si="26"/>
        <v>4832000</v>
      </c>
      <c r="K76" s="4">
        <f t="shared" si="26"/>
        <v>4832000</v>
      </c>
      <c r="L76" s="4">
        <f t="shared" si="26"/>
        <v>4832000</v>
      </c>
      <c r="M76" s="4">
        <f t="shared" si="26"/>
        <v>3861735</v>
      </c>
    </row>
    <row r="77" spans="1:13" ht="45" x14ac:dyDescent="0.25">
      <c r="A77" s="8" t="s">
        <v>95</v>
      </c>
      <c r="B77" s="2">
        <v>803</v>
      </c>
      <c r="C77" s="2">
        <v>10</v>
      </c>
      <c r="D77" s="3" t="s">
        <v>8</v>
      </c>
      <c r="E77" s="3" t="s">
        <v>44</v>
      </c>
      <c r="F77" s="3" t="s">
        <v>62</v>
      </c>
      <c r="G77" s="4">
        <f>3800000+773475</f>
        <v>4573475</v>
      </c>
      <c r="H77" s="4">
        <f>3861735+600345</f>
        <v>4462080</v>
      </c>
      <c r="I77" s="4">
        <v>3861735</v>
      </c>
      <c r="J77" s="4">
        <v>4832000</v>
      </c>
      <c r="K77" s="4">
        <v>4832000</v>
      </c>
      <c r="L77" s="4">
        <v>4832000</v>
      </c>
      <c r="M77" s="4">
        <v>3861735</v>
      </c>
    </row>
    <row r="78" spans="1:13" ht="30" x14ac:dyDescent="0.25">
      <c r="A78" s="8" t="s">
        <v>93</v>
      </c>
      <c r="B78" s="2">
        <v>803</v>
      </c>
      <c r="C78" s="2">
        <v>10</v>
      </c>
      <c r="D78" s="3" t="s">
        <v>12</v>
      </c>
      <c r="E78" s="3"/>
      <c r="F78" s="3"/>
      <c r="G78" s="4" t="e">
        <f t="shared" ref="G78:M78" si="27">G79</f>
        <v>#REF!</v>
      </c>
      <c r="H78" s="4">
        <f t="shared" si="27"/>
        <v>1031100</v>
      </c>
      <c r="I78" s="4">
        <f t="shared" si="27"/>
        <v>1031100</v>
      </c>
      <c r="J78" s="4">
        <f t="shared" si="27"/>
        <v>942301</v>
      </c>
      <c r="K78" s="4">
        <f t="shared" si="27"/>
        <v>942302</v>
      </c>
      <c r="L78" s="4">
        <f t="shared" si="27"/>
        <v>942303</v>
      </c>
      <c r="M78" s="4">
        <f t="shared" si="27"/>
        <v>1031100</v>
      </c>
    </row>
    <row r="79" spans="1:13" ht="60" x14ac:dyDescent="0.25">
      <c r="A79" s="8" t="s">
        <v>118</v>
      </c>
      <c r="B79" s="2">
        <v>803</v>
      </c>
      <c r="C79" s="2">
        <v>10</v>
      </c>
      <c r="D79" s="3" t="s">
        <v>12</v>
      </c>
      <c r="E79" s="3" t="s">
        <v>45</v>
      </c>
      <c r="F79" s="3"/>
      <c r="G79" s="4" t="e">
        <f>G80+#REF!</f>
        <v>#REF!</v>
      </c>
      <c r="H79" s="4">
        <f t="shared" ref="H79:M79" si="28">H80</f>
        <v>1031100</v>
      </c>
      <c r="I79" s="4">
        <f t="shared" si="28"/>
        <v>1031100</v>
      </c>
      <c r="J79" s="4">
        <f t="shared" si="28"/>
        <v>942301</v>
      </c>
      <c r="K79" s="4">
        <f t="shared" si="28"/>
        <v>942302</v>
      </c>
      <c r="L79" s="4">
        <f t="shared" si="28"/>
        <v>942303</v>
      </c>
      <c r="M79" s="4">
        <f t="shared" si="28"/>
        <v>1031100</v>
      </c>
    </row>
    <row r="80" spans="1:13" ht="165" x14ac:dyDescent="0.25">
      <c r="A80" s="8" t="s">
        <v>69</v>
      </c>
      <c r="B80" s="2">
        <v>803</v>
      </c>
      <c r="C80" s="2">
        <v>10</v>
      </c>
      <c r="D80" s="3" t="s">
        <v>12</v>
      </c>
      <c r="E80" s="3" t="s">
        <v>45</v>
      </c>
      <c r="F80" s="3" t="s">
        <v>59</v>
      </c>
      <c r="G80" s="4">
        <v>942300</v>
      </c>
      <c r="H80" s="4">
        <f>1031100</f>
        <v>1031100</v>
      </c>
      <c r="I80" s="4">
        <v>1031100</v>
      </c>
      <c r="J80" s="4">
        <v>942301</v>
      </c>
      <c r="K80" s="4">
        <v>942302</v>
      </c>
      <c r="L80" s="4">
        <v>942303</v>
      </c>
      <c r="M80" s="4">
        <v>1031100</v>
      </c>
    </row>
    <row r="81" spans="1:13" ht="105" x14ac:dyDescent="0.25">
      <c r="A81" s="8" t="s">
        <v>233</v>
      </c>
      <c r="B81" s="2">
        <v>803</v>
      </c>
      <c r="C81" s="2">
        <v>10</v>
      </c>
      <c r="D81" s="3" t="s">
        <v>12</v>
      </c>
      <c r="E81" s="3" t="s">
        <v>232</v>
      </c>
      <c r="F81" s="3" t="s">
        <v>59</v>
      </c>
      <c r="G81" s="4"/>
      <c r="H81" s="4">
        <v>91140</v>
      </c>
      <c r="I81" s="4">
        <v>0</v>
      </c>
      <c r="J81" s="4"/>
      <c r="K81" s="4"/>
      <c r="L81" s="4"/>
      <c r="M81" s="4">
        <v>0</v>
      </c>
    </row>
    <row r="82" spans="1:13" ht="43.5" x14ac:dyDescent="0.25">
      <c r="A82" s="25" t="s">
        <v>53</v>
      </c>
      <c r="B82" s="22">
        <v>805</v>
      </c>
      <c r="C82" s="23"/>
      <c r="D82" s="23"/>
      <c r="E82" s="23"/>
      <c r="F82" s="23"/>
      <c r="G82" s="5" t="e">
        <f>G85+G86+#REF!</f>
        <v>#REF!</v>
      </c>
      <c r="H82" s="5">
        <f t="shared" ref="H82:M82" si="29">H85+H86</f>
        <v>3029264</v>
      </c>
      <c r="I82" s="5">
        <f t="shared" si="29"/>
        <v>3029264</v>
      </c>
      <c r="J82" s="5">
        <f t="shared" si="29"/>
        <v>3311895.4000000004</v>
      </c>
      <c r="K82" s="5">
        <f t="shared" si="29"/>
        <v>3311895.4000000004</v>
      </c>
      <c r="L82" s="5">
        <f t="shared" si="29"/>
        <v>3311895.4000000004</v>
      </c>
      <c r="M82" s="5">
        <f t="shared" si="29"/>
        <v>3029264</v>
      </c>
    </row>
    <row r="83" spans="1:13" ht="90" x14ac:dyDescent="0.25">
      <c r="A83" s="10" t="s">
        <v>66</v>
      </c>
      <c r="B83" s="2">
        <v>805</v>
      </c>
      <c r="C83" s="3" t="s">
        <v>8</v>
      </c>
      <c r="D83" s="3" t="s">
        <v>12</v>
      </c>
      <c r="E83" s="3"/>
      <c r="F83" s="3"/>
      <c r="G83" s="4" t="e">
        <f t="shared" ref="G83:M83" si="30">G84</f>
        <v>#REF!</v>
      </c>
      <c r="H83" s="4">
        <f t="shared" si="30"/>
        <v>3029264</v>
      </c>
      <c r="I83" s="4">
        <f t="shared" si="30"/>
        <v>3029264</v>
      </c>
      <c r="J83" s="4">
        <f t="shared" si="30"/>
        <v>3311895.4000000004</v>
      </c>
      <c r="K83" s="4">
        <f t="shared" si="30"/>
        <v>3311895.4000000004</v>
      </c>
      <c r="L83" s="4">
        <f t="shared" si="30"/>
        <v>3311895.4000000004</v>
      </c>
      <c r="M83" s="4">
        <f t="shared" si="30"/>
        <v>3029264</v>
      </c>
    </row>
    <row r="84" spans="1:13" ht="150" x14ac:dyDescent="0.25">
      <c r="A84" s="10" t="s">
        <v>20</v>
      </c>
      <c r="B84" s="2">
        <v>805</v>
      </c>
      <c r="C84" s="3" t="s">
        <v>8</v>
      </c>
      <c r="D84" s="3" t="s">
        <v>12</v>
      </c>
      <c r="E84" s="3" t="s">
        <v>36</v>
      </c>
      <c r="F84" s="3"/>
      <c r="G84" s="4" t="e">
        <f>G85+G86+#REF!</f>
        <v>#REF!</v>
      </c>
      <c r="H84" s="4">
        <f t="shared" ref="H84:M84" si="31">H85+H86</f>
        <v>3029264</v>
      </c>
      <c r="I84" s="4">
        <f t="shared" si="31"/>
        <v>3029264</v>
      </c>
      <c r="J84" s="4">
        <f t="shared" si="31"/>
        <v>3311895.4000000004</v>
      </c>
      <c r="K84" s="4">
        <f t="shared" si="31"/>
        <v>3311895.4000000004</v>
      </c>
      <c r="L84" s="4">
        <f t="shared" si="31"/>
        <v>3311895.4000000004</v>
      </c>
      <c r="M84" s="4">
        <f t="shared" si="31"/>
        <v>3029264</v>
      </c>
    </row>
    <row r="85" spans="1:13" ht="165" x14ac:dyDescent="0.25">
      <c r="A85" s="10" t="s">
        <v>69</v>
      </c>
      <c r="B85" s="26">
        <v>805</v>
      </c>
      <c r="C85" s="3" t="s">
        <v>8</v>
      </c>
      <c r="D85" s="3" t="s">
        <v>12</v>
      </c>
      <c r="E85" s="3" t="s">
        <v>36</v>
      </c>
      <c r="F85" s="3" t="s">
        <v>59</v>
      </c>
      <c r="G85" s="4">
        <f>2439301+97252</f>
        <v>2536553</v>
      </c>
      <c r="H85" s="4">
        <f>2845814</f>
        <v>2845814</v>
      </c>
      <c r="I85" s="4">
        <v>2845814</v>
      </c>
      <c r="J85" s="4">
        <v>3130395.4000000004</v>
      </c>
      <c r="K85" s="4">
        <v>3130395.4000000004</v>
      </c>
      <c r="L85" s="4">
        <v>3130395.4000000004</v>
      </c>
      <c r="M85" s="4">
        <v>2845814</v>
      </c>
    </row>
    <row r="86" spans="1:13" ht="60" x14ac:dyDescent="0.25">
      <c r="A86" s="10" t="s">
        <v>88</v>
      </c>
      <c r="B86" s="26">
        <v>805</v>
      </c>
      <c r="C86" s="3" t="s">
        <v>8</v>
      </c>
      <c r="D86" s="3" t="s">
        <v>12</v>
      </c>
      <c r="E86" s="3" t="s">
        <v>36</v>
      </c>
      <c r="F86" s="3" t="s">
        <v>60</v>
      </c>
      <c r="G86" s="4">
        <v>129460</v>
      </c>
      <c r="H86" s="4">
        <v>183450</v>
      </c>
      <c r="I86" s="4">
        <v>183450</v>
      </c>
      <c r="J86" s="4">
        <v>181500</v>
      </c>
      <c r="K86" s="4">
        <v>181500</v>
      </c>
      <c r="L86" s="4">
        <v>181500</v>
      </c>
      <c r="M86" s="4">
        <v>183450</v>
      </c>
    </row>
    <row r="87" spans="1:13" ht="57.75" x14ac:dyDescent="0.25">
      <c r="A87" s="25" t="s">
        <v>135</v>
      </c>
      <c r="B87" s="27">
        <v>830</v>
      </c>
      <c r="C87" s="3"/>
      <c r="D87" s="3"/>
      <c r="E87" s="3"/>
      <c r="F87" s="3"/>
      <c r="G87" s="5" t="e">
        <f t="shared" ref="G87:M88" si="32">G88</f>
        <v>#REF!</v>
      </c>
      <c r="H87" s="5">
        <f t="shared" si="32"/>
        <v>2943957</v>
      </c>
      <c r="I87" s="5">
        <f t="shared" si="32"/>
        <v>2579957</v>
      </c>
      <c r="J87" s="5">
        <f t="shared" si="32"/>
        <v>3009142.7</v>
      </c>
      <c r="K87" s="5">
        <f t="shared" si="32"/>
        <v>3009142.7</v>
      </c>
      <c r="L87" s="5">
        <f t="shared" si="32"/>
        <v>3009142.7</v>
      </c>
      <c r="M87" s="5">
        <f t="shared" si="32"/>
        <v>2579957</v>
      </c>
    </row>
    <row r="88" spans="1:13" ht="30" x14ac:dyDescent="0.25">
      <c r="A88" s="10" t="s">
        <v>134</v>
      </c>
      <c r="B88" s="26">
        <v>830</v>
      </c>
      <c r="C88" s="3" t="s">
        <v>8</v>
      </c>
      <c r="D88" s="3"/>
      <c r="E88" s="3"/>
      <c r="F88" s="3"/>
      <c r="G88" s="4" t="e">
        <f t="shared" si="32"/>
        <v>#REF!</v>
      </c>
      <c r="H88" s="4">
        <f t="shared" si="32"/>
        <v>2943957</v>
      </c>
      <c r="I88" s="4">
        <f t="shared" si="32"/>
        <v>2579957</v>
      </c>
      <c r="J88" s="4">
        <f t="shared" si="32"/>
        <v>3009142.7</v>
      </c>
      <c r="K88" s="4">
        <f t="shared" si="32"/>
        <v>3009142.7</v>
      </c>
      <c r="L88" s="4">
        <f t="shared" si="32"/>
        <v>3009142.7</v>
      </c>
      <c r="M88" s="4">
        <f t="shared" si="32"/>
        <v>2579957</v>
      </c>
    </row>
    <row r="89" spans="1:13" ht="30" x14ac:dyDescent="0.25">
      <c r="A89" s="10" t="s">
        <v>134</v>
      </c>
      <c r="B89" s="26">
        <v>830</v>
      </c>
      <c r="C89" s="3" t="s">
        <v>8</v>
      </c>
      <c r="D89" s="3" t="s">
        <v>9</v>
      </c>
      <c r="E89" s="3"/>
      <c r="F89" s="3"/>
      <c r="G89" s="4" t="e">
        <f>G90+G91+G92+#REF!</f>
        <v>#REF!</v>
      </c>
      <c r="H89" s="4">
        <f t="shared" ref="H89:M89" si="33">H90+H91+H92</f>
        <v>2943957</v>
      </c>
      <c r="I89" s="4">
        <f t="shared" si="33"/>
        <v>2579957</v>
      </c>
      <c r="J89" s="4">
        <f t="shared" si="33"/>
        <v>3009142.7</v>
      </c>
      <c r="K89" s="4">
        <f t="shared" si="33"/>
        <v>3009142.7</v>
      </c>
      <c r="L89" s="4">
        <f t="shared" si="33"/>
        <v>3009142.7</v>
      </c>
      <c r="M89" s="4">
        <f t="shared" si="33"/>
        <v>2579957</v>
      </c>
    </row>
    <row r="90" spans="1:13" ht="60" x14ac:dyDescent="0.25">
      <c r="A90" s="10" t="s">
        <v>133</v>
      </c>
      <c r="B90" s="26">
        <v>830</v>
      </c>
      <c r="C90" s="3" t="s">
        <v>8</v>
      </c>
      <c r="D90" s="3" t="s">
        <v>9</v>
      </c>
      <c r="E90" s="3" t="s">
        <v>132</v>
      </c>
      <c r="F90" s="3" t="s">
        <v>59</v>
      </c>
      <c r="G90" s="4">
        <f>988372+92935</f>
        <v>1081307</v>
      </c>
      <c r="H90" s="4">
        <f>1251633</f>
        <v>1251633</v>
      </c>
      <c r="I90" s="4">
        <v>1251633</v>
      </c>
      <c r="J90" s="4">
        <v>1376796.3</v>
      </c>
      <c r="K90" s="4">
        <v>1376796.3</v>
      </c>
      <c r="L90" s="4">
        <v>1376796.3</v>
      </c>
      <c r="M90" s="4">
        <v>1251633</v>
      </c>
    </row>
    <row r="91" spans="1:13" ht="120" x14ac:dyDescent="0.25">
      <c r="A91" s="10" t="s">
        <v>65</v>
      </c>
      <c r="B91" s="26">
        <v>830</v>
      </c>
      <c r="C91" s="3" t="s">
        <v>8</v>
      </c>
      <c r="D91" s="3" t="s">
        <v>9</v>
      </c>
      <c r="E91" s="3" t="s">
        <v>23</v>
      </c>
      <c r="F91" s="3" t="s">
        <v>59</v>
      </c>
      <c r="G91" s="4">
        <f>1077962-45350</f>
        <v>1032612</v>
      </c>
      <c r="H91" s="4">
        <f>1173224</f>
        <v>1173224</v>
      </c>
      <c r="I91" s="4">
        <v>1173224</v>
      </c>
      <c r="J91" s="4">
        <v>1290546.4000000001</v>
      </c>
      <c r="K91" s="4">
        <v>1290546.4000000001</v>
      </c>
      <c r="L91" s="4">
        <v>1290546.4000000001</v>
      </c>
      <c r="M91" s="4">
        <v>1173224</v>
      </c>
    </row>
    <row r="92" spans="1:13" ht="120" x14ac:dyDescent="0.25">
      <c r="A92" s="10" t="s">
        <v>65</v>
      </c>
      <c r="B92" s="26">
        <v>830</v>
      </c>
      <c r="C92" s="3" t="s">
        <v>8</v>
      </c>
      <c r="D92" s="3" t="s">
        <v>9</v>
      </c>
      <c r="E92" s="3" t="s">
        <v>23</v>
      </c>
      <c r="F92" s="3" t="s">
        <v>60</v>
      </c>
      <c r="G92" s="4">
        <v>152430</v>
      </c>
      <c r="H92" s="4">
        <f>155100+364000</f>
        <v>519100</v>
      </c>
      <c r="I92" s="4">
        <v>155100</v>
      </c>
      <c r="J92" s="4">
        <v>341800</v>
      </c>
      <c r="K92" s="4">
        <v>341800</v>
      </c>
      <c r="L92" s="4">
        <v>341800</v>
      </c>
      <c r="M92" s="4">
        <v>155100</v>
      </c>
    </row>
    <row r="93" spans="1:13" x14ac:dyDescent="0.25">
      <c r="A93" s="25" t="s">
        <v>228</v>
      </c>
      <c r="B93" s="27">
        <v>866</v>
      </c>
      <c r="C93" s="23"/>
      <c r="D93" s="23"/>
      <c r="E93" s="23"/>
      <c r="F93" s="23"/>
      <c r="G93" s="5"/>
      <c r="H93" s="5">
        <f>H94+H95+H96+H97</f>
        <v>7533266.7200000007</v>
      </c>
      <c r="I93" s="5">
        <v>0</v>
      </c>
      <c r="J93" s="5"/>
      <c r="K93" s="5"/>
      <c r="L93" s="5"/>
      <c r="M93" s="5">
        <v>0</v>
      </c>
    </row>
    <row r="94" spans="1:13" x14ac:dyDescent="0.25">
      <c r="A94" s="10" t="s">
        <v>227</v>
      </c>
      <c r="B94" s="26">
        <v>866</v>
      </c>
      <c r="C94" s="3" t="s">
        <v>8</v>
      </c>
      <c r="D94" s="3" t="s">
        <v>18</v>
      </c>
      <c r="E94" s="3" t="s">
        <v>39</v>
      </c>
      <c r="F94" s="3" t="s">
        <v>60</v>
      </c>
      <c r="G94" s="4"/>
      <c r="H94" s="4">
        <f>1334532.1-510850</f>
        <v>823682.10000000009</v>
      </c>
      <c r="I94" s="4">
        <v>0</v>
      </c>
      <c r="J94" s="4"/>
      <c r="K94" s="4"/>
      <c r="L94" s="4"/>
      <c r="M94" s="4">
        <v>0</v>
      </c>
    </row>
    <row r="95" spans="1:13" ht="165" x14ac:dyDescent="0.25">
      <c r="A95" s="10" t="s">
        <v>69</v>
      </c>
      <c r="B95" s="26">
        <v>866</v>
      </c>
      <c r="C95" s="3" t="s">
        <v>10</v>
      </c>
      <c r="D95" s="3" t="s">
        <v>11</v>
      </c>
      <c r="E95" s="3" t="s">
        <v>152</v>
      </c>
      <c r="F95" s="3" t="s">
        <v>59</v>
      </c>
      <c r="G95" s="4"/>
      <c r="H95" s="4">
        <f>5288604.62+10850</f>
        <v>5299454.62</v>
      </c>
      <c r="I95" s="4">
        <v>0</v>
      </c>
      <c r="J95" s="4"/>
      <c r="K95" s="4"/>
      <c r="L95" s="4"/>
      <c r="M95" s="4">
        <v>0</v>
      </c>
    </row>
    <row r="96" spans="1:13" ht="60" x14ac:dyDescent="0.25">
      <c r="A96" s="10" t="s">
        <v>88</v>
      </c>
      <c r="B96" s="26">
        <v>866</v>
      </c>
      <c r="C96" s="3" t="s">
        <v>10</v>
      </c>
      <c r="D96" s="3" t="s">
        <v>11</v>
      </c>
      <c r="E96" s="3" t="s">
        <v>152</v>
      </c>
      <c r="F96" s="3" t="s">
        <v>60</v>
      </c>
      <c r="G96" s="4"/>
      <c r="H96" s="4">
        <f>500000+500000</f>
        <v>1000000</v>
      </c>
      <c r="I96" s="4">
        <v>0</v>
      </c>
      <c r="J96" s="4"/>
      <c r="K96" s="4"/>
      <c r="L96" s="4"/>
      <c r="M96" s="4">
        <v>0</v>
      </c>
    </row>
    <row r="97" spans="1:14" ht="105" x14ac:dyDescent="0.25">
      <c r="A97" s="10" t="s">
        <v>233</v>
      </c>
      <c r="B97" s="26">
        <v>866</v>
      </c>
      <c r="C97" s="3" t="s">
        <v>10</v>
      </c>
      <c r="D97" s="3" t="s">
        <v>11</v>
      </c>
      <c r="E97" s="3" t="s">
        <v>232</v>
      </c>
      <c r="F97" s="3" t="s">
        <v>59</v>
      </c>
      <c r="G97" s="4"/>
      <c r="H97" s="4">
        <v>410130</v>
      </c>
      <c r="I97" s="4">
        <v>0</v>
      </c>
      <c r="J97" s="4"/>
      <c r="K97" s="4"/>
      <c r="L97" s="4"/>
      <c r="M97" s="4">
        <v>0</v>
      </c>
    </row>
    <row r="98" spans="1:14" ht="114" x14ac:dyDescent="0.25">
      <c r="A98" s="28" t="s">
        <v>96</v>
      </c>
      <c r="B98" s="22">
        <v>873</v>
      </c>
      <c r="C98" s="23"/>
      <c r="D98" s="23"/>
      <c r="E98" s="23"/>
      <c r="F98" s="23"/>
      <c r="G98" s="5" t="e">
        <f t="shared" ref="G98:M98" si="34">G99+G159</f>
        <v>#REF!</v>
      </c>
      <c r="H98" s="5">
        <f t="shared" si="34"/>
        <v>995731819.16000009</v>
      </c>
      <c r="I98" s="5">
        <f t="shared" si="34"/>
        <v>949986862.20000005</v>
      </c>
      <c r="J98" s="5" t="e">
        <f t="shared" si="34"/>
        <v>#REF!</v>
      </c>
      <c r="K98" s="5" t="e">
        <f t="shared" si="34"/>
        <v>#REF!</v>
      </c>
      <c r="L98" s="5" t="e">
        <f t="shared" si="34"/>
        <v>#REF!</v>
      </c>
      <c r="M98" s="5">
        <f t="shared" si="34"/>
        <v>950986862.20000005</v>
      </c>
      <c r="N98" s="14"/>
    </row>
    <row r="99" spans="1:14" x14ac:dyDescent="0.25">
      <c r="A99" s="28" t="s">
        <v>85</v>
      </c>
      <c r="B99" s="22">
        <v>873</v>
      </c>
      <c r="C99" s="23" t="s">
        <v>13</v>
      </c>
      <c r="D99" s="23"/>
      <c r="E99" s="23"/>
      <c r="F99" s="23"/>
      <c r="G99" s="5" t="e">
        <f t="shared" ref="G99:M99" si="35">G100+G113+G133+G141+G143+G151</f>
        <v>#REF!</v>
      </c>
      <c r="H99" s="5">
        <f t="shared" si="35"/>
        <v>960578019.16000009</v>
      </c>
      <c r="I99" s="5">
        <f t="shared" si="35"/>
        <v>915041362.20000005</v>
      </c>
      <c r="J99" s="5" t="e">
        <f t="shared" si="35"/>
        <v>#REF!</v>
      </c>
      <c r="K99" s="5" t="e">
        <f t="shared" si="35"/>
        <v>#REF!</v>
      </c>
      <c r="L99" s="5" t="e">
        <f t="shared" si="35"/>
        <v>#REF!</v>
      </c>
      <c r="M99" s="5">
        <f t="shared" si="35"/>
        <v>916041362.20000005</v>
      </c>
    </row>
    <row r="100" spans="1:14" x14ac:dyDescent="0.25">
      <c r="A100" s="11" t="s">
        <v>97</v>
      </c>
      <c r="B100" s="2">
        <v>873</v>
      </c>
      <c r="C100" s="3" t="s">
        <v>13</v>
      </c>
      <c r="D100" s="3" t="s">
        <v>8</v>
      </c>
      <c r="E100" s="3"/>
      <c r="F100" s="3"/>
      <c r="G100" s="4">
        <f t="shared" ref="G100" si="36">G101+G102+G110+G109</f>
        <v>201534709.55000001</v>
      </c>
      <c r="H100" s="4">
        <f>H101+H102+H110+H109</f>
        <v>308329717.84000003</v>
      </c>
      <c r="I100" s="4">
        <f t="shared" ref="I100:M100" si="37">I101+I102+I110+I109</f>
        <v>279090500</v>
      </c>
      <c r="J100" s="4">
        <f t="shared" si="37"/>
        <v>479285000</v>
      </c>
      <c r="K100" s="4">
        <f t="shared" si="37"/>
        <v>479285000</v>
      </c>
      <c r="L100" s="4">
        <f t="shared" si="37"/>
        <v>479285000</v>
      </c>
      <c r="M100" s="4">
        <f t="shared" si="37"/>
        <v>279090500</v>
      </c>
    </row>
    <row r="101" spans="1:14" ht="120" x14ac:dyDescent="0.25">
      <c r="A101" s="11" t="s">
        <v>155</v>
      </c>
      <c r="B101" s="2">
        <v>873</v>
      </c>
      <c r="C101" s="3" t="s">
        <v>8</v>
      </c>
      <c r="D101" s="3" t="s">
        <v>18</v>
      </c>
      <c r="E101" s="3" t="s">
        <v>125</v>
      </c>
      <c r="F101" s="3" t="s">
        <v>60</v>
      </c>
      <c r="G101" s="4">
        <v>50000</v>
      </c>
      <c r="H101" s="4">
        <v>150000</v>
      </c>
      <c r="I101" s="4">
        <v>150000</v>
      </c>
      <c r="J101" s="4">
        <f t="shared" ref="J101:L101" si="38">50000+100000</f>
        <v>150000</v>
      </c>
      <c r="K101" s="4">
        <f t="shared" si="38"/>
        <v>150000</v>
      </c>
      <c r="L101" s="4">
        <f t="shared" si="38"/>
        <v>150000</v>
      </c>
      <c r="M101" s="4">
        <v>150000</v>
      </c>
    </row>
    <row r="102" spans="1:14" ht="25.5" customHeight="1" x14ac:dyDescent="0.25">
      <c r="A102" s="11" t="s">
        <v>206</v>
      </c>
      <c r="B102" s="2">
        <v>873</v>
      </c>
      <c r="C102" s="3" t="s">
        <v>13</v>
      </c>
      <c r="D102" s="3" t="s">
        <v>8</v>
      </c>
      <c r="E102" s="3" t="s">
        <v>207</v>
      </c>
      <c r="F102" s="3"/>
      <c r="G102" s="4">
        <f t="shared" ref="G102" si="39">G103</f>
        <v>146971200</v>
      </c>
      <c r="H102" s="4">
        <f>H103+H104+H105+H106+H107+H108</f>
        <v>226832900</v>
      </c>
      <c r="I102" s="4">
        <f t="shared" ref="I102:M102" si="40">I103+I104+I105+I106+I107+I108</f>
        <v>226832900</v>
      </c>
      <c r="J102" s="4">
        <f t="shared" si="40"/>
        <v>427417400</v>
      </c>
      <c r="K102" s="4">
        <f t="shared" si="40"/>
        <v>427417400</v>
      </c>
      <c r="L102" s="4">
        <f t="shared" si="40"/>
        <v>427417400</v>
      </c>
      <c r="M102" s="4">
        <f t="shared" si="40"/>
        <v>226832900</v>
      </c>
    </row>
    <row r="103" spans="1:14" ht="19.5" customHeight="1" x14ac:dyDescent="0.25">
      <c r="A103" s="10" t="s">
        <v>200</v>
      </c>
      <c r="B103" s="2">
        <v>873</v>
      </c>
      <c r="C103" s="3" t="s">
        <v>13</v>
      </c>
      <c r="D103" s="3" t="s">
        <v>8</v>
      </c>
      <c r="E103" s="3" t="s">
        <v>199</v>
      </c>
      <c r="F103" s="3" t="s">
        <v>59</v>
      </c>
      <c r="G103" s="4">
        <v>146971200</v>
      </c>
      <c r="H103" s="4">
        <v>13124200</v>
      </c>
      <c r="I103" s="4">
        <v>13124200</v>
      </c>
      <c r="J103" s="4">
        <v>213708700</v>
      </c>
      <c r="K103" s="4">
        <v>213708700</v>
      </c>
      <c r="L103" s="4">
        <v>213708700</v>
      </c>
      <c r="M103" s="4">
        <v>13124200</v>
      </c>
    </row>
    <row r="104" spans="1:14" ht="135" x14ac:dyDescent="0.25">
      <c r="A104" s="10" t="s">
        <v>208</v>
      </c>
      <c r="B104" s="2">
        <v>873</v>
      </c>
      <c r="C104" s="3" t="s">
        <v>13</v>
      </c>
      <c r="D104" s="3" t="s">
        <v>8</v>
      </c>
      <c r="E104" s="3" t="s">
        <v>201</v>
      </c>
      <c r="F104" s="3" t="s">
        <v>59</v>
      </c>
      <c r="G104" s="4"/>
      <c r="H104" s="4">
        <v>13995540</v>
      </c>
      <c r="I104" s="4">
        <v>14215131</v>
      </c>
      <c r="J104" s="4">
        <v>14215131</v>
      </c>
      <c r="K104" s="4">
        <v>14215131</v>
      </c>
      <c r="L104" s="4">
        <v>14215131</v>
      </c>
      <c r="M104" s="4">
        <v>14215131</v>
      </c>
    </row>
    <row r="105" spans="1:14" ht="210" x14ac:dyDescent="0.25">
      <c r="A105" s="10" t="s">
        <v>209</v>
      </c>
      <c r="B105" s="2">
        <v>873</v>
      </c>
      <c r="C105" s="3" t="s">
        <v>13</v>
      </c>
      <c r="D105" s="3" t="s">
        <v>8</v>
      </c>
      <c r="E105" s="3" t="s">
        <v>202</v>
      </c>
      <c r="F105" s="3" t="s">
        <v>59</v>
      </c>
      <c r="G105" s="4"/>
      <c r="H105" s="4">
        <v>41359002</v>
      </c>
      <c r="I105" s="4">
        <v>25587068</v>
      </c>
      <c r="J105" s="4">
        <v>25587068</v>
      </c>
      <c r="K105" s="4">
        <v>25587068</v>
      </c>
      <c r="L105" s="4">
        <v>25587068</v>
      </c>
      <c r="M105" s="4">
        <v>25587068</v>
      </c>
    </row>
    <row r="106" spans="1:14" ht="105" x14ac:dyDescent="0.25">
      <c r="A106" s="10" t="s">
        <v>210</v>
      </c>
      <c r="B106" s="2">
        <v>873</v>
      </c>
      <c r="C106" s="3" t="s">
        <v>13</v>
      </c>
      <c r="D106" s="3" t="s">
        <v>8</v>
      </c>
      <c r="E106" s="3" t="s">
        <v>203</v>
      </c>
      <c r="F106" s="3" t="s">
        <v>59</v>
      </c>
      <c r="G106" s="4"/>
      <c r="H106" s="4">
        <v>101821934</v>
      </c>
      <c r="I106" s="4">
        <v>100945910</v>
      </c>
      <c r="J106" s="4">
        <v>100945910</v>
      </c>
      <c r="K106" s="4">
        <v>100945910</v>
      </c>
      <c r="L106" s="4">
        <v>100945910</v>
      </c>
      <c r="M106" s="4">
        <v>100945910</v>
      </c>
    </row>
    <row r="107" spans="1:14" ht="120" x14ac:dyDescent="0.25">
      <c r="A107" s="10" t="s">
        <v>211</v>
      </c>
      <c r="B107" s="2">
        <v>873</v>
      </c>
      <c r="C107" s="3" t="s">
        <v>13</v>
      </c>
      <c r="D107" s="3" t="s">
        <v>8</v>
      </c>
      <c r="E107" s="3" t="s">
        <v>204</v>
      </c>
      <c r="F107" s="3" t="s">
        <v>59</v>
      </c>
      <c r="G107" s="4"/>
      <c r="H107" s="4">
        <v>18657740</v>
      </c>
      <c r="I107" s="4">
        <v>17419807</v>
      </c>
      <c r="J107" s="4">
        <v>17419807</v>
      </c>
      <c r="K107" s="4">
        <v>17419807</v>
      </c>
      <c r="L107" s="4">
        <v>17419807</v>
      </c>
      <c r="M107" s="4">
        <v>17419807</v>
      </c>
    </row>
    <row r="108" spans="1:14" ht="120" x14ac:dyDescent="0.25">
      <c r="A108" s="10" t="s">
        <v>212</v>
      </c>
      <c r="B108" s="2">
        <v>873</v>
      </c>
      <c r="C108" s="3" t="s">
        <v>13</v>
      </c>
      <c r="D108" s="3" t="s">
        <v>8</v>
      </c>
      <c r="E108" s="3" t="s">
        <v>205</v>
      </c>
      <c r="F108" s="3" t="s">
        <v>59</v>
      </c>
      <c r="G108" s="4"/>
      <c r="H108" s="4">
        <v>37874484</v>
      </c>
      <c r="I108" s="4">
        <v>55540784</v>
      </c>
      <c r="J108" s="4">
        <v>55540784</v>
      </c>
      <c r="K108" s="4">
        <v>55540784</v>
      </c>
      <c r="L108" s="4">
        <v>55540784</v>
      </c>
      <c r="M108" s="4">
        <v>55540784</v>
      </c>
    </row>
    <row r="109" spans="1:14" ht="60" x14ac:dyDescent="0.25">
      <c r="A109" s="10" t="s">
        <v>49</v>
      </c>
      <c r="B109" s="2">
        <v>873</v>
      </c>
      <c r="C109" s="3" t="s">
        <v>13</v>
      </c>
      <c r="D109" s="3" t="s">
        <v>8</v>
      </c>
      <c r="E109" s="3" t="s">
        <v>173</v>
      </c>
      <c r="F109" s="3" t="s">
        <v>60</v>
      </c>
      <c r="G109" s="4">
        <v>1466700</v>
      </c>
      <c r="H109" s="4">
        <v>1597600</v>
      </c>
      <c r="I109" s="4">
        <v>1597600</v>
      </c>
      <c r="J109" s="4">
        <v>1597600</v>
      </c>
      <c r="K109" s="4">
        <v>1597600</v>
      </c>
      <c r="L109" s="4">
        <v>1597600</v>
      </c>
      <c r="M109" s="4">
        <v>1597600</v>
      </c>
    </row>
    <row r="110" spans="1:14" ht="120" x14ac:dyDescent="0.25">
      <c r="A110" s="10" t="s">
        <v>98</v>
      </c>
      <c r="B110" s="2">
        <v>873</v>
      </c>
      <c r="C110" s="3" t="s">
        <v>13</v>
      </c>
      <c r="D110" s="3" t="s">
        <v>8</v>
      </c>
      <c r="E110" s="3" t="s">
        <v>27</v>
      </c>
      <c r="F110" s="3"/>
      <c r="G110" s="4">
        <f t="shared" ref="G110:M110" si="41">G111+G112</f>
        <v>53046809.549999997</v>
      </c>
      <c r="H110" s="4">
        <f t="shared" si="41"/>
        <v>79749217.840000004</v>
      </c>
      <c r="I110" s="4">
        <f t="shared" si="41"/>
        <v>50510000</v>
      </c>
      <c r="J110" s="4">
        <f t="shared" si="41"/>
        <v>50120000</v>
      </c>
      <c r="K110" s="4">
        <f t="shared" si="41"/>
        <v>50120000</v>
      </c>
      <c r="L110" s="4">
        <f t="shared" si="41"/>
        <v>50120000</v>
      </c>
      <c r="M110" s="4">
        <f t="shared" si="41"/>
        <v>50510000</v>
      </c>
    </row>
    <row r="111" spans="1:14" ht="60" x14ac:dyDescent="0.25">
      <c r="A111" s="10" t="s">
        <v>88</v>
      </c>
      <c r="B111" s="2">
        <v>873</v>
      </c>
      <c r="C111" s="3" t="s">
        <v>13</v>
      </c>
      <c r="D111" s="3" t="s">
        <v>8</v>
      </c>
      <c r="E111" s="3" t="s">
        <v>27</v>
      </c>
      <c r="F111" s="3" t="s">
        <v>60</v>
      </c>
      <c r="G111" s="4">
        <f>46146809.55+5000000+1500000</f>
        <v>52646809.549999997</v>
      </c>
      <c r="H111" s="4">
        <v>67755307.840000004</v>
      </c>
      <c r="I111" s="4">
        <f t="shared" ref="I111:M111" si="42">44070000+5500000</f>
        <v>49570000</v>
      </c>
      <c r="J111" s="4">
        <f t="shared" si="42"/>
        <v>49570000</v>
      </c>
      <c r="K111" s="4">
        <f t="shared" si="42"/>
        <v>49570000</v>
      </c>
      <c r="L111" s="4">
        <f t="shared" si="42"/>
        <v>49570000</v>
      </c>
      <c r="M111" s="4">
        <f t="shared" si="42"/>
        <v>49570000</v>
      </c>
    </row>
    <row r="112" spans="1:14" ht="30" x14ac:dyDescent="0.25">
      <c r="A112" s="10" t="s">
        <v>72</v>
      </c>
      <c r="B112" s="2">
        <v>873</v>
      </c>
      <c r="C112" s="3" t="s">
        <v>13</v>
      </c>
      <c r="D112" s="3" t="s">
        <v>8</v>
      </c>
      <c r="E112" s="3" t="s">
        <v>27</v>
      </c>
      <c r="F112" s="3" t="s">
        <v>61</v>
      </c>
      <c r="G112" s="4">
        <v>400000</v>
      </c>
      <c r="H112" s="4">
        <f>4293910+7700000</f>
        <v>11993910</v>
      </c>
      <c r="I112" s="4">
        <v>940000</v>
      </c>
      <c r="J112" s="4">
        <v>550000</v>
      </c>
      <c r="K112" s="4">
        <v>550000</v>
      </c>
      <c r="L112" s="4">
        <v>550000</v>
      </c>
      <c r="M112" s="4">
        <v>940000</v>
      </c>
    </row>
    <row r="113" spans="1:13" x14ac:dyDescent="0.25">
      <c r="A113" s="25" t="s">
        <v>100</v>
      </c>
      <c r="B113" s="22">
        <v>873</v>
      </c>
      <c r="C113" s="23" t="s">
        <v>13</v>
      </c>
      <c r="D113" s="23" t="s">
        <v>14</v>
      </c>
      <c r="E113" s="23"/>
      <c r="F113" s="23"/>
      <c r="G113" s="5">
        <f>G114+G122+G130+G128+G126+G127</f>
        <v>437240808.73000002</v>
      </c>
      <c r="H113" s="5">
        <f>H114+H122+H130+H128+H126+H127+H129+H132</f>
        <v>584157702.32000005</v>
      </c>
      <c r="I113" s="5">
        <f>I114+I122+I130+I128+I126+I127+I129+I132</f>
        <v>564337698.20000005</v>
      </c>
      <c r="J113" s="5" t="e">
        <f t="shared" ref="J113:M113" si="43">J114+J122+J130+J128+J126+J127+J129+J132</f>
        <v>#REF!</v>
      </c>
      <c r="K113" s="5" t="e">
        <f t="shared" si="43"/>
        <v>#REF!</v>
      </c>
      <c r="L113" s="5" t="e">
        <f t="shared" si="43"/>
        <v>#REF!</v>
      </c>
      <c r="M113" s="5">
        <f t="shared" si="43"/>
        <v>564337698.20000005</v>
      </c>
    </row>
    <row r="114" spans="1:13" ht="69" customHeight="1" x14ac:dyDescent="0.25">
      <c r="A114" s="10" t="s">
        <v>99</v>
      </c>
      <c r="B114" s="2">
        <v>873</v>
      </c>
      <c r="C114" s="3" t="s">
        <v>13</v>
      </c>
      <c r="D114" s="3" t="s">
        <v>14</v>
      </c>
      <c r="E114" s="3" t="s">
        <v>214</v>
      </c>
      <c r="F114" s="3"/>
      <c r="G114" s="4">
        <f t="shared" ref="G114" si="44">G115</f>
        <v>305383600</v>
      </c>
      <c r="H114" s="4">
        <f>H115+H116+H117+H118+H119+H120+H121</f>
        <v>428249600</v>
      </c>
      <c r="I114" s="4">
        <f t="shared" ref="I114:M114" si="45">I115+I116+I117+I118+I119+I120+I121</f>
        <v>428249600</v>
      </c>
      <c r="J114" s="4">
        <f t="shared" si="45"/>
        <v>428249600</v>
      </c>
      <c r="K114" s="4">
        <f t="shared" si="45"/>
        <v>428249600</v>
      </c>
      <c r="L114" s="4">
        <f t="shared" si="45"/>
        <v>428249600</v>
      </c>
      <c r="M114" s="4">
        <f t="shared" si="45"/>
        <v>428249600</v>
      </c>
    </row>
    <row r="115" spans="1:13" ht="48" customHeight="1" x14ac:dyDescent="0.25">
      <c r="A115" s="10" t="s">
        <v>200</v>
      </c>
      <c r="B115" s="2">
        <v>873</v>
      </c>
      <c r="C115" s="3" t="s">
        <v>13</v>
      </c>
      <c r="D115" s="3" t="s">
        <v>14</v>
      </c>
      <c r="E115" s="3" t="s">
        <v>199</v>
      </c>
      <c r="F115" s="3" t="s">
        <v>59</v>
      </c>
      <c r="G115" s="4">
        <v>305383600</v>
      </c>
      <c r="H115" s="4">
        <v>26951400</v>
      </c>
      <c r="I115" s="4">
        <v>26951400</v>
      </c>
      <c r="J115" s="4">
        <v>26951400</v>
      </c>
      <c r="K115" s="4">
        <v>26951400</v>
      </c>
      <c r="L115" s="4">
        <v>26951400</v>
      </c>
      <c r="M115" s="4">
        <v>26951400</v>
      </c>
    </row>
    <row r="116" spans="1:13" ht="48" customHeight="1" x14ac:dyDescent="0.25">
      <c r="A116" s="10" t="s">
        <v>208</v>
      </c>
      <c r="B116" s="2">
        <v>873</v>
      </c>
      <c r="C116" s="3" t="s">
        <v>13</v>
      </c>
      <c r="D116" s="3" t="s">
        <v>14</v>
      </c>
      <c r="E116" s="3" t="s">
        <v>201</v>
      </c>
      <c r="F116" s="3" t="s">
        <v>59</v>
      </c>
      <c r="G116" s="4"/>
      <c r="H116" s="4">
        <v>55442926</v>
      </c>
      <c r="I116" s="4">
        <v>56507386</v>
      </c>
      <c r="J116" s="4">
        <v>56507386</v>
      </c>
      <c r="K116" s="4">
        <v>56507386</v>
      </c>
      <c r="L116" s="4">
        <v>56507386</v>
      </c>
      <c r="M116" s="4">
        <v>56507386</v>
      </c>
    </row>
    <row r="117" spans="1:13" ht="48" customHeight="1" x14ac:dyDescent="0.25">
      <c r="A117" s="10" t="s">
        <v>209</v>
      </c>
      <c r="B117" s="2">
        <v>873</v>
      </c>
      <c r="C117" s="3" t="s">
        <v>13</v>
      </c>
      <c r="D117" s="3" t="s">
        <v>14</v>
      </c>
      <c r="E117" s="3" t="s">
        <v>202</v>
      </c>
      <c r="F117" s="3" t="s">
        <v>59</v>
      </c>
      <c r="G117" s="4"/>
      <c r="H117" s="4">
        <v>14713687</v>
      </c>
      <c r="I117" s="4">
        <v>5681705</v>
      </c>
      <c r="J117" s="4">
        <v>5681705</v>
      </c>
      <c r="K117" s="4">
        <v>5681705</v>
      </c>
      <c r="L117" s="4">
        <v>5681705</v>
      </c>
      <c r="M117" s="4">
        <v>5681705</v>
      </c>
    </row>
    <row r="118" spans="1:13" ht="48" customHeight="1" x14ac:dyDescent="0.25">
      <c r="A118" s="10" t="s">
        <v>210</v>
      </c>
      <c r="B118" s="2">
        <v>873</v>
      </c>
      <c r="C118" s="3" t="s">
        <v>13</v>
      </c>
      <c r="D118" s="3" t="s">
        <v>14</v>
      </c>
      <c r="E118" s="3" t="s">
        <v>203</v>
      </c>
      <c r="F118" s="3" t="s">
        <v>59</v>
      </c>
      <c r="G118" s="4"/>
      <c r="H118" s="4">
        <v>268143561</v>
      </c>
      <c r="I118" s="4">
        <v>269781015</v>
      </c>
      <c r="J118" s="4">
        <v>269781015</v>
      </c>
      <c r="K118" s="4">
        <v>269781015</v>
      </c>
      <c r="L118" s="4">
        <v>269781015</v>
      </c>
      <c r="M118" s="4">
        <v>269781015</v>
      </c>
    </row>
    <row r="119" spans="1:13" ht="48" customHeight="1" x14ac:dyDescent="0.25">
      <c r="A119" s="10" t="s">
        <v>211</v>
      </c>
      <c r="B119" s="2">
        <v>873</v>
      </c>
      <c r="C119" s="3" t="s">
        <v>13</v>
      </c>
      <c r="D119" s="3" t="s">
        <v>14</v>
      </c>
      <c r="E119" s="3" t="s">
        <v>204</v>
      </c>
      <c r="F119" s="3" t="s">
        <v>59</v>
      </c>
      <c r="G119" s="4"/>
      <c r="H119" s="4">
        <v>15493428</v>
      </c>
      <c r="I119" s="4">
        <v>14998445</v>
      </c>
      <c r="J119" s="4">
        <v>14998445</v>
      </c>
      <c r="K119" s="4">
        <v>14998445</v>
      </c>
      <c r="L119" s="4">
        <v>14998445</v>
      </c>
      <c r="M119" s="4">
        <v>14998445</v>
      </c>
    </row>
    <row r="120" spans="1:13" ht="48" customHeight="1" x14ac:dyDescent="0.25">
      <c r="A120" s="10" t="s">
        <v>212</v>
      </c>
      <c r="B120" s="2">
        <v>873</v>
      </c>
      <c r="C120" s="3" t="s">
        <v>13</v>
      </c>
      <c r="D120" s="3" t="s">
        <v>14</v>
      </c>
      <c r="E120" s="3" t="s">
        <v>205</v>
      </c>
      <c r="F120" s="3" t="s">
        <v>59</v>
      </c>
      <c r="G120" s="4"/>
      <c r="H120" s="4">
        <v>42823158</v>
      </c>
      <c r="I120" s="4">
        <v>51052109</v>
      </c>
      <c r="J120" s="4">
        <v>51052109</v>
      </c>
      <c r="K120" s="4">
        <v>51052109</v>
      </c>
      <c r="L120" s="4">
        <v>51052109</v>
      </c>
      <c r="M120" s="4">
        <v>51052109</v>
      </c>
    </row>
    <row r="121" spans="1:13" ht="48" customHeight="1" x14ac:dyDescent="0.25">
      <c r="A121" s="10" t="s">
        <v>215</v>
      </c>
      <c r="B121" s="2">
        <v>873</v>
      </c>
      <c r="C121" s="3" t="s">
        <v>13</v>
      </c>
      <c r="D121" s="3" t="s">
        <v>14</v>
      </c>
      <c r="E121" s="3" t="s">
        <v>213</v>
      </c>
      <c r="F121" s="3" t="s">
        <v>59</v>
      </c>
      <c r="G121" s="4"/>
      <c r="H121" s="4">
        <v>4681440</v>
      </c>
      <c r="I121" s="4">
        <v>3277540</v>
      </c>
      <c r="J121" s="4">
        <v>3277540</v>
      </c>
      <c r="K121" s="4">
        <v>3277540</v>
      </c>
      <c r="L121" s="4">
        <v>3277540</v>
      </c>
      <c r="M121" s="4">
        <v>3277540</v>
      </c>
    </row>
    <row r="122" spans="1:13" ht="120" x14ac:dyDescent="0.25">
      <c r="A122" s="10" t="s">
        <v>98</v>
      </c>
      <c r="B122" s="2">
        <v>873</v>
      </c>
      <c r="C122" s="3" t="s">
        <v>13</v>
      </c>
      <c r="D122" s="3" t="s">
        <v>14</v>
      </c>
      <c r="E122" s="3" t="s">
        <v>27</v>
      </c>
      <c r="F122" s="3"/>
      <c r="G122" s="4">
        <f>G123+G125</f>
        <v>52187945.170000002</v>
      </c>
      <c r="H122" s="4">
        <f t="shared" ref="H122:M122" si="46">H123+H125+H124</f>
        <v>58229591.390000001</v>
      </c>
      <c r="I122" s="4">
        <f t="shared" si="46"/>
        <v>47579000</v>
      </c>
      <c r="J122" s="4">
        <f t="shared" si="46"/>
        <v>47660000</v>
      </c>
      <c r="K122" s="4">
        <f t="shared" si="46"/>
        <v>47660000</v>
      </c>
      <c r="L122" s="4">
        <f t="shared" si="46"/>
        <v>47660000</v>
      </c>
      <c r="M122" s="4">
        <f t="shared" si="46"/>
        <v>47579000</v>
      </c>
    </row>
    <row r="123" spans="1:13" ht="60" x14ac:dyDescent="0.25">
      <c r="A123" s="10" t="s">
        <v>88</v>
      </c>
      <c r="B123" s="2">
        <v>873</v>
      </c>
      <c r="C123" s="3" t="s">
        <v>13</v>
      </c>
      <c r="D123" s="3" t="s">
        <v>14</v>
      </c>
      <c r="E123" s="3" t="s">
        <v>27</v>
      </c>
      <c r="F123" s="3" t="s">
        <v>60</v>
      </c>
      <c r="G123" s="4">
        <f>45467945.17+500000</f>
        <v>45967945.170000002</v>
      </c>
      <c r="H123" s="4">
        <f>37938329.18+1000000</f>
        <v>38938329.18</v>
      </c>
      <c r="I123" s="4">
        <f t="shared" ref="I123:M123" si="47">39940000+500000</f>
        <v>40440000</v>
      </c>
      <c r="J123" s="4">
        <f t="shared" si="47"/>
        <v>40440000</v>
      </c>
      <c r="K123" s="4">
        <f t="shared" si="47"/>
        <v>40440000</v>
      </c>
      <c r="L123" s="4">
        <f t="shared" si="47"/>
        <v>40440000</v>
      </c>
      <c r="M123" s="4">
        <f t="shared" si="47"/>
        <v>40440000</v>
      </c>
    </row>
    <row r="124" spans="1:13" ht="30" hidden="1" x14ac:dyDescent="0.25">
      <c r="A124" s="10" t="s">
        <v>179</v>
      </c>
      <c r="B124" s="2">
        <v>873</v>
      </c>
      <c r="C124" s="3" t="s">
        <v>13</v>
      </c>
      <c r="D124" s="3" t="s">
        <v>14</v>
      </c>
      <c r="E124" s="3" t="s">
        <v>27</v>
      </c>
      <c r="F124" s="3" t="s">
        <v>60</v>
      </c>
      <c r="G124" s="4">
        <v>15</v>
      </c>
      <c r="H124" s="4">
        <v>0</v>
      </c>
      <c r="I124" s="4">
        <v>0</v>
      </c>
      <c r="J124" s="4"/>
      <c r="K124" s="4"/>
      <c r="L124" s="4"/>
      <c r="M124" s="4">
        <v>0</v>
      </c>
    </row>
    <row r="125" spans="1:13" ht="60" x14ac:dyDescent="0.25">
      <c r="A125" s="10" t="s">
        <v>48</v>
      </c>
      <c r="B125" s="2">
        <v>873</v>
      </c>
      <c r="C125" s="3" t="s">
        <v>13</v>
      </c>
      <c r="D125" s="3" t="s">
        <v>14</v>
      </c>
      <c r="E125" s="3" t="s">
        <v>27</v>
      </c>
      <c r="F125" s="3" t="s">
        <v>61</v>
      </c>
      <c r="G125" s="4">
        <v>6220000</v>
      </c>
      <c r="H125" s="4">
        <f>7220904+12070358.21</f>
        <v>19291262.210000001</v>
      </c>
      <c r="I125" s="4">
        <v>7139000</v>
      </c>
      <c r="J125" s="4">
        <v>7220000</v>
      </c>
      <c r="K125" s="4">
        <v>7220000</v>
      </c>
      <c r="L125" s="4">
        <v>7220000</v>
      </c>
      <c r="M125" s="4">
        <v>7139000</v>
      </c>
    </row>
    <row r="126" spans="1:13" ht="135" x14ac:dyDescent="0.25">
      <c r="A126" s="10" t="s">
        <v>159</v>
      </c>
      <c r="B126" s="2">
        <v>873</v>
      </c>
      <c r="C126" s="3" t="s">
        <v>13</v>
      </c>
      <c r="D126" s="3" t="s">
        <v>14</v>
      </c>
      <c r="E126" s="3" t="s">
        <v>157</v>
      </c>
      <c r="F126" s="3" t="s">
        <v>59</v>
      </c>
      <c r="G126" s="4">
        <v>27732600</v>
      </c>
      <c r="H126" s="4">
        <v>31020120.190000001</v>
      </c>
      <c r="I126" s="4">
        <v>32341680</v>
      </c>
      <c r="J126" s="4">
        <v>32341680</v>
      </c>
      <c r="K126" s="4">
        <v>32341680</v>
      </c>
      <c r="L126" s="4">
        <v>32341680</v>
      </c>
      <c r="M126" s="4">
        <v>32341680</v>
      </c>
    </row>
    <row r="127" spans="1:13" ht="120" x14ac:dyDescent="0.25">
      <c r="A127" s="10" t="s">
        <v>160</v>
      </c>
      <c r="B127" s="2">
        <v>873</v>
      </c>
      <c r="C127" s="3" t="s">
        <v>13</v>
      </c>
      <c r="D127" s="3" t="s">
        <v>14</v>
      </c>
      <c r="E127" s="3" t="s">
        <v>158</v>
      </c>
      <c r="F127" s="3" t="s">
        <v>60</v>
      </c>
      <c r="G127" s="4">
        <v>43883236.560000002</v>
      </c>
      <c r="H127" s="4">
        <v>49409913.890000001</v>
      </c>
      <c r="I127" s="4">
        <v>46939418.200000003</v>
      </c>
      <c r="J127" s="4">
        <v>46939418.200000003</v>
      </c>
      <c r="K127" s="4">
        <v>46939418.200000003</v>
      </c>
      <c r="L127" s="4">
        <v>46939418.200000003</v>
      </c>
      <c r="M127" s="4">
        <v>46939418.200000003</v>
      </c>
    </row>
    <row r="128" spans="1:13" ht="105" hidden="1" x14ac:dyDescent="0.25">
      <c r="A128" s="10" t="s">
        <v>142</v>
      </c>
      <c r="B128" s="2">
        <v>873</v>
      </c>
      <c r="C128" s="3" t="s">
        <v>13</v>
      </c>
      <c r="D128" s="3" t="s">
        <v>14</v>
      </c>
      <c r="E128" s="3" t="s">
        <v>141</v>
      </c>
      <c r="F128" s="3"/>
      <c r="G128" s="4">
        <v>1648527</v>
      </c>
      <c r="H128" s="4">
        <v>0</v>
      </c>
      <c r="I128" s="4">
        <v>0</v>
      </c>
      <c r="J128" s="4" t="e">
        <f>#REF!</f>
        <v>#REF!</v>
      </c>
      <c r="K128" s="4" t="e">
        <f>#REF!</f>
        <v>#REF!</v>
      </c>
      <c r="L128" s="4" t="e">
        <f>#REF!</f>
        <v>#REF!</v>
      </c>
      <c r="M128" s="4">
        <v>0</v>
      </c>
    </row>
    <row r="129" spans="1:13" ht="66.75" hidden="1" customHeight="1" x14ac:dyDescent="0.25">
      <c r="A129" s="10" t="s">
        <v>186</v>
      </c>
      <c r="B129" s="2">
        <v>873</v>
      </c>
      <c r="C129" s="3" t="s">
        <v>13</v>
      </c>
      <c r="D129" s="3" t="s">
        <v>14</v>
      </c>
      <c r="E129" s="3" t="s">
        <v>185</v>
      </c>
      <c r="F129" s="3" t="s">
        <v>60</v>
      </c>
      <c r="G129" s="4"/>
      <c r="H129" s="4">
        <v>0</v>
      </c>
      <c r="I129" s="4">
        <v>0</v>
      </c>
      <c r="J129" s="4"/>
      <c r="K129" s="4"/>
      <c r="L129" s="4"/>
      <c r="M129" s="4">
        <v>0</v>
      </c>
    </row>
    <row r="130" spans="1:13" ht="60" x14ac:dyDescent="0.25">
      <c r="A130" s="10" t="s">
        <v>49</v>
      </c>
      <c r="B130" s="2">
        <v>873</v>
      </c>
      <c r="C130" s="3" t="s">
        <v>13</v>
      </c>
      <c r="D130" s="3" t="s">
        <v>14</v>
      </c>
      <c r="E130" s="3" t="s">
        <v>26</v>
      </c>
      <c r="F130" s="3"/>
      <c r="G130" s="4">
        <f t="shared" ref="G130" si="48">G131</f>
        <v>6404900</v>
      </c>
      <c r="H130" s="4">
        <f>H131</f>
        <v>10718000</v>
      </c>
      <c r="I130" s="4">
        <f t="shared" ref="I130:M130" si="49">I131</f>
        <v>9228000</v>
      </c>
      <c r="J130" s="4">
        <f t="shared" si="49"/>
        <v>9228000</v>
      </c>
      <c r="K130" s="4">
        <f t="shared" si="49"/>
        <v>9228000</v>
      </c>
      <c r="L130" s="4">
        <f t="shared" si="49"/>
        <v>9228000</v>
      </c>
      <c r="M130" s="4">
        <f t="shared" si="49"/>
        <v>9228000</v>
      </c>
    </row>
    <row r="131" spans="1:13" ht="60" x14ac:dyDescent="0.25">
      <c r="A131" s="10" t="s">
        <v>88</v>
      </c>
      <c r="B131" s="2">
        <v>873</v>
      </c>
      <c r="C131" s="3" t="s">
        <v>13</v>
      </c>
      <c r="D131" s="3" t="s">
        <v>14</v>
      </c>
      <c r="E131" s="3" t="s">
        <v>26</v>
      </c>
      <c r="F131" s="3" t="s">
        <v>60</v>
      </c>
      <c r="G131" s="4">
        <f>4374100+2030800</f>
        <v>6404900</v>
      </c>
      <c r="H131" s="4">
        <v>10718000</v>
      </c>
      <c r="I131" s="4">
        <v>9228000</v>
      </c>
      <c r="J131" s="4">
        <v>9228000</v>
      </c>
      <c r="K131" s="4">
        <v>9228000</v>
      </c>
      <c r="L131" s="4">
        <v>9228000</v>
      </c>
      <c r="M131" s="4">
        <v>9228000</v>
      </c>
    </row>
    <row r="132" spans="1:13" ht="60" x14ac:dyDescent="0.25">
      <c r="A132" s="10" t="s">
        <v>186</v>
      </c>
      <c r="B132" s="2">
        <v>873</v>
      </c>
      <c r="C132" s="3" t="s">
        <v>13</v>
      </c>
      <c r="D132" s="3" t="s">
        <v>14</v>
      </c>
      <c r="E132" s="3" t="s">
        <v>185</v>
      </c>
      <c r="F132" s="3" t="s">
        <v>60</v>
      </c>
      <c r="G132" s="4"/>
      <c r="H132" s="4">
        <v>6530476.8499999996</v>
      </c>
      <c r="I132" s="4">
        <v>0</v>
      </c>
      <c r="J132" s="4"/>
      <c r="K132" s="4"/>
      <c r="L132" s="4"/>
      <c r="M132" s="4">
        <v>0</v>
      </c>
    </row>
    <row r="133" spans="1:13" ht="29.25" x14ac:dyDescent="0.25">
      <c r="A133" s="25" t="s">
        <v>86</v>
      </c>
      <c r="B133" s="22">
        <v>873</v>
      </c>
      <c r="C133" s="23" t="s">
        <v>13</v>
      </c>
      <c r="D133" s="23" t="s">
        <v>9</v>
      </c>
      <c r="E133" s="23"/>
      <c r="F133" s="23"/>
      <c r="G133" s="5">
        <f t="shared" ref="G133" si="50">G134+G136</f>
        <v>34910004</v>
      </c>
      <c r="H133" s="5">
        <f>H134+H136+H140</f>
        <v>43388838</v>
      </c>
      <c r="I133" s="5">
        <f t="shared" ref="I133:M133" si="51">I134+I136+I140</f>
        <v>42912838</v>
      </c>
      <c r="J133" s="5">
        <f t="shared" si="51"/>
        <v>42785834.399999999</v>
      </c>
      <c r="K133" s="5">
        <f t="shared" si="51"/>
        <v>42785834.399999999</v>
      </c>
      <c r="L133" s="5">
        <f t="shared" si="51"/>
        <v>42785834.399999999</v>
      </c>
      <c r="M133" s="5">
        <f t="shared" si="51"/>
        <v>42912838</v>
      </c>
    </row>
    <row r="134" spans="1:13" ht="105" x14ac:dyDescent="0.25">
      <c r="A134" s="10" t="s">
        <v>210</v>
      </c>
      <c r="B134" s="2">
        <v>873</v>
      </c>
      <c r="C134" s="3" t="s">
        <v>13</v>
      </c>
      <c r="D134" s="3" t="s">
        <v>9</v>
      </c>
      <c r="E134" s="3" t="s">
        <v>140</v>
      </c>
      <c r="F134" s="3"/>
      <c r="G134" s="4">
        <f t="shared" ref="G134:M134" si="52">G135</f>
        <v>19509200</v>
      </c>
      <c r="H134" s="4">
        <f t="shared" si="52"/>
        <v>24588400</v>
      </c>
      <c r="I134" s="4">
        <f t="shared" si="52"/>
        <v>24588400</v>
      </c>
      <c r="J134" s="4">
        <f t="shared" si="52"/>
        <v>24588400</v>
      </c>
      <c r="K134" s="4">
        <f t="shared" si="52"/>
        <v>24588400</v>
      </c>
      <c r="L134" s="4">
        <f t="shared" si="52"/>
        <v>24588400</v>
      </c>
      <c r="M134" s="4">
        <f t="shared" si="52"/>
        <v>24588400</v>
      </c>
    </row>
    <row r="135" spans="1:13" ht="105" x14ac:dyDescent="0.25">
      <c r="A135" s="10" t="s">
        <v>210</v>
      </c>
      <c r="B135" s="2">
        <v>873</v>
      </c>
      <c r="C135" s="3" t="s">
        <v>13</v>
      </c>
      <c r="D135" s="3" t="s">
        <v>9</v>
      </c>
      <c r="E135" s="3" t="s">
        <v>216</v>
      </c>
      <c r="F135" s="3" t="s">
        <v>59</v>
      </c>
      <c r="G135" s="4">
        <v>19509200</v>
      </c>
      <c r="H135" s="4">
        <v>24588400</v>
      </c>
      <c r="I135" s="4">
        <v>24588400</v>
      </c>
      <c r="J135" s="4">
        <v>24588400</v>
      </c>
      <c r="K135" s="4">
        <v>24588400</v>
      </c>
      <c r="L135" s="4">
        <v>24588400</v>
      </c>
      <c r="M135" s="4">
        <v>24588400</v>
      </c>
    </row>
    <row r="136" spans="1:13" ht="135" x14ac:dyDescent="0.25">
      <c r="A136" s="10" t="s">
        <v>87</v>
      </c>
      <c r="B136" s="2">
        <v>873</v>
      </c>
      <c r="C136" s="3" t="s">
        <v>13</v>
      </c>
      <c r="D136" s="3" t="s">
        <v>9</v>
      </c>
      <c r="E136" s="3" t="s">
        <v>28</v>
      </c>
      <c r="F136" s="3"/>
      <c r="G136" s="4">
        <f t="shared" ref="G136:M136" si="53">G137+G138+G139</f>
        <v>15400804</v>
      </c>
      <c r="H136" s="4">
        <f t="shared" si="53"/>
        <v>17441138</v>
      </c>
      <c r="I136" s="4">
        <f t="shared" si="53"/>
        <v>16965138</v>
      </c>
      <c r="J136" s="4">
        <f t="shared" si="53"/>
        <v>16838134.399999999</v>
      </c>
      <c r="K136" s="4">
        <f t="shared" si="53"/>
        <v>16838134.399999999</v>
      </c>
      <c r="L136" s="4">
        <f t="shared" si="53"/>
        <v>16838134.399999999</v>
      </c>
      <c r="M136" s="4">
        <f t="shared" si="53"/>
        <v>16965138</v>
      </c>
    </row>
    <row r="137" spans="1:13" ht="165" x14ac:dyDescent="0.25">
      <c r="A137" s="10" t="s">
        <v>69</v>
      </c>
      <c r="B137" s="2">
        <v>873</v>
      </c>
      <c r="C137" s="3" t="s">
        <v>13</v>
      </c>
      <c r="D137" s="3" t="s">
        <v>9</v>
      </c>
      <c r="E137" s="3" t="s">
        <v>28</v>
      </c>
      <c r="F137" s="3" t="s">
        <v>59</v>
      </c>
      <c r="G137" s="4">
        <v>14181304</v>
      </c>
      <c r="H137" s="4">
        <f>15599438+476000</f>
        <v>16075438</v>
      </c>
      <c r="I137" s="4">
        <v>15599438</v>
      </c>
      <c r="J137" s="4">
        <v>15599434.4</v>
      </c>
      <c r="K137" s="4">
        <v>15599434.4</v>
      </c>
      <c r="L137" s="4">
        <v>15599434.4</v>
      </c>
      <c r="M137" s="4">
        <v>15599438</v>
      </c>
    </row>
    <row r="138" spans="1:13" ht="60" x14ac:dyDescent="0.25">
      <c r="A138" s="10" t="s">
        <v>88</v>
      </c>
      <c r="B138" s="2">
        <v>873</v>
      </c>
      <c r="C138" s="3" t="s">
        <v>13</v>
      </c>
      <c r="D138" s="3" t="s">
        <v>9</v>
      </c>
      <c r="E138" s="3" t="s">
        <v>28</v>
      </c>
      <c r="F138" s="3" t="s">
        <v>60</v>
      </c>
      <c r="G138" s="4">
        <f>433000+603000+143500</f>
        <v>1179500</v>
      </c>
      <c r="H138" s="4">
        <v>1315700</v>
      </c>
      <c r="I138" s="4">
        <v>1315700</v>
      </c>
      <c r="J138" s="4">
        <v>1183700</v>
      </c>
      <c r="K138" s="4">
        <v>1183700</v>
      </c>
      <c r="L138" s="4">
        <v>1183700</v>
      </c>
      <c r="M138" s="4">
        <v>1315700</v>
      </c>
    </row>
    <row r="139" spans="1:13" ht="30" x14ac:dyDescent="0.25">
      <c r="A139" s="10" t="s">
        <v>72</v>
      </c>
      <c r="B139" s="2">
        <v>873</v>
      </c>
      <c r="C139" s="3" t="s">
        <v>13</v>
      </c>
      <c r="D139" s="3" t="s">
        <v>9</v>
      </c>
      <c r="E139" s="3" t="s">
        <v>28</v>
      </c>
      <c r="F139" s="3" t="s">
        <v>61</v>
      </c>
      <c r="G139" s="4">
        <f>20000+15000+5000</f>
        <v>40000</v>
      </c>
      <c r="H139" s="4">
        <v>50000</v>
      </c>
      <c r="I139" s="4">
        <v>50000</v>
      </c>
      <c r="J139" s="4">
        <v>55000</v>
      </c>
      <c r="K139" s="4">
        <v>55000</v>
      </c>
      <c r="L139" s="4">
        <v>55000</v>
      </c>
      <c r="M139" s="4">
        <v>50000</v>
      </c>
    </row>
    <row r="140" spans="1:13" ht="210" x14ac:dyDescent="0.25">
      <c r="A140" s="10" t="s">
        <v>200</v>
      </c>
      <c r="B140" s="2">
        <v>873</v>
      </c>
      <c r="C140" s="3" t="s">
        <v>13</v>
      </c>
      <c r="D140" s="3" t="s">
        <v>9</v>
      </c>
      <c r="E140" s="3" t="s">
        <v>199</v>
      </c>
      <c r="F140" s="3" t="s">
        <v>59</v>
      </c>
      <c r="G140" s="4"/>
      <c r="H140" s="4">
        <v>1359300</v>
      </c>
      <c r="I140" s="4">
        <v>1359300</v>
      </c>
      <c r="J140" s="4">
        <v>1359300</v>
      </c>
      <c r="K140" s="4">
        <v>1359300</v>
      </c>
      <c r="L140" s="4">
        <v>1359300</v>
      </c>
      <c r="M140" s="4">
        <v>1359300</v>
      </c>
    </row>
    <row r="141" spans="1:13" ht="165" x14ac:dyDescent="0.25">
      <c r="A141" s="10" t="s">
        <v>101</v>
      </c>
      <c r="B141" s="2">
        <v>873</v>
      </c>
      <c r="C141" s="3" t="s">
        <v>13</v>
      </c>
      <c r="D141" s="3" t="s">
        <v>11</v>
      </c>
      <c r="E141" s="3" t="s">
        <v>151</v>
      </c>
      <c r="F141" s="3"/>
      <c r="G141" s="4">
        <f t="shared" ref="G141:M141" si="54">G142</f>
        <v>810300</v>
      </c>
      <c r="H141" s="4">
        <f t="shared" si="54"/>
        <v>972200</v>
      </c>
      <c r="I141" s="4">
        <f t="shared" si="54"/>
        <v>972200</v>
      </c>
      <c r="J141" s="4">
        <f t="shared" si="54"/>
        <v>972200</v>
      </c>
      <c r="K141" s="4">
        <f t="shared" si="54"/>
        <v>972200</v>
      </c>
      <c r="L141" s="4">
        <f t="shared" si="54"/>
        <v>972200</v>
      </c>
      <c r="M141" s="4">
        <f t="shared" si="54"/>
        <v>972200</v>
      </c>
    </row>
    <row r="142" spans="1:13" ht="60" x14ac:dyDescent="0.25">
      <c r="A142" s="10" t="s">
        <v>88</v>
      </c>
      <c r="B142" s="2">
        <v>873</v>
      </c>
      <c r="C142" s="3" t="s">
        <v>13</v>
      </c>
      <c r="D142" s="3" t="s">
        <v>11</v>
      </c>
      <c r="E142" s="3" t="s">
        <v>151</v>
      </c>
      <c r="F142" s="3" t="s">
        <v>60</v>
      </c>
      <c r="G142" s="4">
        <v>810300</v>
      </c>
      <c r="H142" s="4">
        <v>972200</v>
      </c>
      <c r="I142" s="4">
        <v>972200</v>
      </c>
      <c r="J142" s="4">
        <v>972200</v>
      </c>
      <c r="K142" s="4">
        <v>972200</v>
      </c>
      <c r="L142" s="4">
        <v>972200</v>
      </c>
      <c r="M142" s="4">
        <v>972200</v>
      </c>
    </row>
    <row r="143" spans="1:13" ht="30" x14ac:dyDescent="0.25">
      <c r="A143" s="10" t="s">
        <v>108</v>
      </c>
      <c r="B143" s="22">
        <v>873</v>
      </c>
      <c r="C143" s="23" t="s">
        <v>13</v>
      </c>
      <c r="D143" s="23" t="s">
        <v>13</v>
      </c>
      <c r="E143" s="23"/>
      <c r="F143" s="23"/>
      <c r="G143" s="5">
        <f t="shared" ref="G143" si="55">G144+G146+G148+G149</f>
        <v>2190648</v>
      </c>
      <c r="H143" s="5">
        <f>H144+H146+H148</f>
        <v>3755000</v>
      </c>
      <c r="I143" s="5">
        <f t="shared" ref="I143:M143" si="56">I144+I146+I148</f>
        <v>7655000</v>
      </c>
      <c r="J143" s="5">
        <f t="shared" si="56"/>
        <v>3695000</v>
      </c>
      <c r="K143" s="5">
        <f t="shared" si="56"/>
        <v>3695000</v>
      </c>
      <c r="L143" s="5">
        <f t="shared" si="56"/>
        <v>3695000</v>
      </c>
      <c r="M143" s="5">
        <f t="shared" si="56"/>
        <v>8655000</v>
      </c>
    </row>
    <row r="144" spans="1:13" ht="60" x14ac:dyDescent="0.25">
      <c r="A144" s="10" t="s">
        <v>156</v>
      </c>
      <c r="B144" s="2">
        <v>873</v>
      </c>
      <c r="C144" s="3" t="s">
        <v>13</v>
      </c>
      <c r="D144" s="3" t="s">
        <v>13</v>
      </c>
      <c r="E144" s="3" t="s">
        <v>153</v>
      </c>
      <c r="F144" s="3"/>
      <c r="G144" s="4">
        <f t="shared" ref="G144:M144" si="57">G145</f>
        <v>1655000</v>
      </c>
      <c r="H144" s="4">
        <f t="shared" si="57"/>
        <v>3655000</v>
      </c>
      <c r="I144" s="4">
        <f t="shared" si="57"/>
        <v>7655000</v>
      </c>
      <c r="J144" s="4">
        <f t="shared" si="57"/>
        <v>3655000</v>
      </c>
      <c r="K144" s="4">
        <f t="shared" si="57"/>
        <v>3655000</v>
      </c>
      <c r="L144" s="4">
        <f t="shared" si="57"/>
        <v>3655000</v>
      </c>
      <c r="M144" s="4">
        <f t="shared" si="57"/>
        <v>8655000</v>
      </c>
    </row>
    <row r="145" spans="1:13" ht="60" x14ac:dyDescent="0.25">
      <c r="A145" s="10" t="s">
        <v>88</v>
      </c>
      <c r="B145" s="2">
        <v>873</v>
      </c>
      <c r="C145" s="3" t="s">
        <v>13</v>
      </c>
      <c r="D145" s="3" t="s">
        <v>13</v>
      </c>
      <c r="E145" s="3" t="s">
        <v>153</v>
      </c>
      <c r="F145" s="3" t="s">
        <v>60</v>
      </c>
      <c r="G145" s="4">
        <v>1655000</v>
      </c>
      <c r="H145" s="4">
        <f>105000+250000+3300000</f>
        <v>3655000</v>
      </c>
      <c r="I145" s="4">
        <f>105000+250000+3300000+4000000</f>
        <v>7655000</v>
      </c>
      <c r="J145" s="4">
        <f t="shared" ref="J145:L145" si="58">105000+250000+3300000</f>
        <v>3655000</v>
      </c>
      <c r="K145" s="4">
        <f t="shared" si="58"/>
        <v>3655000</v>
      </c>
      <c r="L145" s="4">
        <f t="shared" si="58"/>
        <v>3655000</v>
      </c>
      <c r="M145" s="4">
        <f>105000+250000+3300000+5000000</f>
        <v>8655000</v>
      </c>
    </row>
    <row r="146" spans="1:13" ht="90" x14ac:dyDescent="0.25">
      <c r="A146" s="10" t="s">
        <v>176</v>
      </c>
      <c r="B146" s="2">
        <v>873</v>
      </c>
      <c r="C146" s="3" t="s">
        <v>13</v>
      </c>
      <c r="D146" s="3" t="s">
        <v>13</v>
      </c>
      <c r="E146" s="3" t="s">
        <v>124</v>
      </c>
      <c r="F146" s="3" t="s">
        <v>60</v>
      </c>
      <c r="G146" s="4">
        <v>100000</v>
      </c>
      <c r="H146" s="4">
        <v>100000</v>
      </c>
      <c r="I146" s="4"/>
      <c r="J146" s="4"/>
      <c r="K146" s="4"/>
      <c r="L146" s="4"/>
      <c r="M146" s="4"/>
    </row>
    <row r="147" spans="1:13" ht="60" hidden="1" x14ac:dyDescent="0.25">
      <c r="A147" s="10" t="s">
        <v>154</v>
      </c>
      <c r="B147" s="2">
        <v>873</v>
      </c>
      <c r="C147" s="3" t="s">
        <v>13</v>
      </c>
      <c r="D147" s="3" t="s">
        <v>13</v>
      </c>
      <c r="E147" s="3" t="s">
        <v>126</v>
      </c>
      <c r="F147" s="3"/>
      <c r="G147" s="4">
        <f>G148</f>
        <v>50000</v>
      </c>
      <c r="H147" s="4">
        <v>0</v>
      </c>
      <c r="I147" s="4">
        <v>0</v>
      </c>
      <c r="J147" s="4">
        <v>40000</v>
      </c>
      <c r="K147" s="4">
        <v>40000</v>
      </c>
      <c r="L147" s="4">
        <v>40000</v>
      </c>
      <c r="M147" s="4">
        <v>0</v>
      </c>
    </row>
    <row r="148" spans="1:13" ht="60" hidden="1" x14ac:dyDescent="0.25">
      <c r="A148" s="10" t="s">
        <v>88</v>
      </c>
      <c r="B148" s="2">
        <v>873</v>
      </c>
      <c r="C148" s="3" t="s">
        <v>13</v>
      </c>
      <c r="D148" s="3" t="s">
        <v>13</v>
      </c>
      <c r="E148" s="3" t="s">
        <v>126</v>
      </c>
      <c r="F148" s="3" t="s">
        <v>60</v>
      </c>
      <c r="G148" s="4">
        <v>50000</v>
      </c>
      <c r="H148" s="4">
        <v>0</v>
      </c>
      <c r="I148" s="4">
        <v>0</v>
      </c>
      <c r="J148" s="4">
        <v>40000</v>
      </c>
      <c r="K148" s="4">
        <v>40000</v>
      </c>
      <c r="L148" s="4">
        <v>40000</v>
      </c>
      <c r="M148" s="4">
        <v>0</v>
      </c>
    </row>
    <row r="149" spans="1:13" ht="90" x14ac:dyDescent="0.25">
      <c r="A149" s="10" t="s">
        <v>128</v>
      </c>
      <c r="B149" s="2">
        <v>873</v>
      </c>
      <c r="C149" s="3" t="s">
        <v>13</v>
      </c>
      <c r="D149" s="3" t="s">
        <v>15</v>
      </c>
      <c r="E149" s="3" t="s">
        <v>127</v>
      </c>
      <c r="F149" s="3"/>
      <c r="G149" s="4">
        <v>385648</v>
      </c>
      <c r="H149" s="4">
        <f t="shared" ref="H149:M149" si="59">H150</f>
        <v>389400</v>
      </c>
      <c r="I149" s="4">
        <f t="shared" si="59"/>
        <v>397900</v>
      </c>
      <c r="J149" s="4">
        <f t="shared" si="59"/>
        <v>393554</v>
      </c>
      <c r="K149" s="4">
        <f t="shared" si="59"/>
        <v>393554</v>
      </c>
      <c r="L149" s="4">
        <f t="shared" si="59"/>
        <v>393554</v>
      </c>
      <c r="M149" s="4">
        <f t="shared" si="59"/>
        <v>397900</v>
      </c>
    </row>
    <row r="150" spans="1:13" ht="90" x14ac:dyDescent="0.25">
      <c r="A150" s="10" t="s">
        <v>128</v>
      </c>
      <c r="B150" s="2">
        <v>873</v>
      </c>
      <c r="C150" s="3" t="s">
        <v>13</v>
      </c>
      <c r="D150" s="3" t="s">
        <v>15</v>
      </c>
      <c r="E150" s="3" t="s">
        <v>127</v>
      </c>
      <c r="F150" s="3" t="s">
        <v>60</v>
      </c>
      <c r="G150" s="4">
        <v>385648</v>
      </c>
      <c r="H150" s="4">
        <v>389400</v>
      </c>
      <c r="I150" s="4">
        <v>397900</v>
      </c>
      <c r="J150" s="4">
        <f t="shared" ref="J150:L150" si="60">358400+35154</f>
        <v>393554</v>
      </c>
      <c r="K150" s="4">
        <f t="shared" si="60"/>
        <v>393554</v>
      </c>
      <c r="L150" s="4">
        <f t="shared" si="60"/>
        <v>393554</v>
      </c>
      <c r="M150" s="4">
        <v>397900</v>
      </c>
    </row>
    <row r="151" spans="1:13" ht="30" x14ac:dyDescent="0.25">
      <c r="A151" s="10" t="s">
        <v>103</v>
      </c>
      <c r="B151" s="22">
        <v>873</v>
      </c>
      <c r="C151" s="23" t="s">
        <v>13</v>
      </c>
      <c r="D151" s="23" t="s">
        <v>15</v>
      </c>
      <c r="E151" s="23"/>
      <c r="F151" s="23"/>
      <c r="G151" s="5" t="e">
        <f t="shared" ref="G151" si="61">G152+G154</f>
        <v>#REF!</v>
      </c>
      <c r="H151" s="5">
        <f>H152+H154+H149+H158</f>
        <v>19974561</v>
      </c>
      <c r="I151" s="5">
        <f t="shared" ref="I151:M151" si="62">I152+I154+I149</f>
        <v>20073126</v>
      </c>
      <c r="J151" s="5">
        <f t="shared" si="62"/>
        <v>22715502.600000001</v>
      </c>
      <c r="K151" s="5">
        <f t="shared" si="62"/>
        <v>22715502.600000001</v>
      </c>
      <c r="L151" s="5">
        <f t="shared" si="62"/>
        <v>22715502.600000001</v>
      </c>
      <c r="M151" s="5">
        <f t="shared" si="62"/>
        <v>20073126</v>
      </c>
    </row>
    <row r="152" spans="1:13" ht="210" x14ac:dyDescent="0.25">
      <c r="A152" s="10" t="s">
        <v>102</v>
      </c>
      <c r="B152" s="2">
        <v>873</v>
      </c>
      <c r="C152" s="3" t="s">
        <v>13</v>
      </c>
      <c r="D152" s="3" t="s">
        <v>15</v>
      </c>
      <c r="E152" s="3" t="s">
        <v>52</v>
      </c>
      <c r="F152" s="3"/>
      <c r="G152" s="4">
        <v>100000</v>
      </c>
      <c r="H152" s="4">
        <v>100000</v>
      </c>
      <c r="I152" s="4">
        <v>100000</v>
      </c>
      <c r="J152" s="4">
        <v>100000</v>
      </c>
      <c r="K152" s="4">
        <v>100000</v>
      </c>
      <c r="L152" s="4">
        <v>100000</v>
      </c>
      <c r="M152" s="4">
        <v>100000</v>
      </c>
    </row>
    <row r="153" spans="1:13" ht="45" x14ac:dyDescent="0.25">
      <c r="A153" s="10" t="s">
        <v>95</v>
      </c>
      <c r="B153" s="2">
        <v>873</v>
      </c>
      <c r="C153" s="3" t="s">
        <v>13</v>
      </c>
      <c r="D153" s="3" t="s">
        <v>15</v>
      </c>
      <c r="E153" s="3" t="s">
        <v>52</v>
      </c>
      <c r="F153" s="3" t="s">
        <v>62</v>
      </c>
      <c r="G153" s="4">
        <v>100000</v>
      </c>
      <c r="H153" s="4">
        <v>100000</v>
      </c>
      <c r="I153" s="4">
        <v>100000</v>
      </c>
      <c r="J153" s="4">
        <v>100000</v>
      </c>
      <c r="K153" s="4">
        <v>100000</v>
      </c>
      <c r="L153" s="4">
        <v>100000</v>
      </c>
      <c r="M153" s="4">
        <v>100000</v>
      </c>
    </row>
    <row r="154" spans="1:13" ht="120" x14ac:dyDescent="0.25">
      <c r="A154" s="10" t="s">
        <v>104</v>
      </c>
      <c r="B154" s="2">
        <v>873</v>
      </c>
      <c r="C154" s="3" t="s">
        <v>13</v>
      </c>
      <c r="D154" s="3" t="s">
        <v>15</v>
      </c>
      <c r="E154" s="3" t="s">
        <v>29</v>
      </c>
      <c r="F154" s="3"/>
      <c r="G154" s="4" t="e">
        <f>G155+G156+G157+#REF!+#REF!+#REF!</f>
        <v>#REF!</v>
      </c>
      <c r="H154" s="4">
        <f t="shared" ref="H154:M154" si="63">H155+H156+H157</f>
        <v>19302881</v>
      </c>
      <c r="I154" s="4">
        <f t="shared" si="63"/>
        <v>19575226</v>
      </c>
      <c r="J154" s="4">
        <f t="shared" si="63"/>
        <v>22221948.600000001</v>
      </c>
      <c r="K154" s="4">
        <f t="shared" si="63"/>
        <v>22221948.600000001</v>
      </c>
      <c r="L154" s="4">
        <f t="shared" si="63"/>
        <v>22221948.600000001</v>
      </c>
      <c r="M154" s="4">
        <f t="shared" si="63"/>
        <v>19575226</v>
      </c>
    </row>
    <row r="155" spans="1:13" ht="165" x14ac:dyDescent="0.25">
      <c r="A155" s="10" t="s">
        <v>69</v>
      </c>
      <c r="B155" s="2">
        <v>873</v>
      </c>
      <c r="C155" s="3" t="s">
        <v>13</v>
      </c>
      <c r="D155" s="3" t="s">
        <v>15</v>
      </c>
      <c r="E155" s="3" t="s">
        <v>29</v>
      </c>
      <c r="F155" s="3" t="s">
        <v>59</v>
      </c>
      <c r="G155" s="4">
        <f>15684593+653526</f>
        <v>16338119</v>
      </c>
      <c r="H155" s="4">
        <f>16500681+494200</f>
        <v>16994881</v>
      </c>
      <c r="I155" s="4">
        <v>17267226</v>
      </c>
      <c r="J155" s="4">
        <v>18993948.600000001</v>
      </c>
      <c r="K155" s="4">
        <v>18993948.600000001</v>
      </c>
      <c r="L155" s="4">
        <v>18993948.600000001</v>
      </c>
      <c r="M155" s="4">
        <v>17267226</v>
      </c>
    </row>
    <row r="156" spans="1:13" ht="60" x14ac:dyDescent="0.25">
      <c r="A156" s="10" t="s">
        <v>88</v>
      </c>
      <c r="B156" s="2">
        <v>873</v>
      </c>
      <c r="C156" s="3" t="s">
        <v>13</v>
      </c>
      <c r="D156" s="3" t="s">
        <v>15</v>
      </c>
      <c r="E156" s="3" t="s">
        <v>29</v>
      </c>
      <c r="F156" s="3" t="s">
        <v>60</v>
      </c>
      <c r="G156" s="4">
        <f>3018000-150000</f>
        <v>2868000</v>
      </c>
      <c r="H156" s="4">
        <v>2258000</v>
      </c>
      <c r="I156" s="4">
        <v>2258000</v>
      </c>
      <c r="J156" s="4">
        <v>3178000</v>
      </c>
      <c r="K156" s="4">
        <v>3178000</v>
      </c>
      <c r="L156" s="4">
        <v>3178000</v>
      </c>
      <c r="M156" s="4">
        <v>2258000</v>
      </c>
    </row>
    <row r="157" spans="1:13" ht="30" x14ac:dyDescent="0.25">
      <c r="A157" s="10" t="s">
        <v>72</v>
      </c>
      <c r="B157" s="2">
        <v>873</v>
      </c>
      <c r="C157" s="3" t="s">
        <v>13</v>
      </c>
      <c r="D157" s="3" t="s">
        <v>15</v>
      </c>
      <c r="E157" s="3" t="s">
        <v>29</v>
      </c>
      <c r="F157" s="3" t="s">
        <v>61</v>
      </c>
      <c r="G157" s="4">
        <v>30000</v>
      </c>
      <c r="H157" s="4">
        <v>50000</v>
      </c>
      <c r="I157" s="4">
        <v>50000</v>
      </c>
      <c r="J157" s="4">
        <v>50000</v>
      </c>
      <c r="K157" s="4">
        <v>50000</v>
      </c>
      <c r="L157" s="4">
        <v>50000</v>
      </c>
      <c r="M157" s="4">
        <v>50000</v>
      </c>
    </row>
    <row r="158" spans="1:13" ht="105" x14ac:dyDescent="0.25">
      <c r="A158" s="10" t="s">
        <v>233</v>
      </c>
      <c r="B158" s="2">
        <v>873</v>
      </c>
      <c r="C158" s="3" t="s">
        <v>13</v>
      </c>
      <c r="D158" s="3" t="s">
        <v>15</v>
      </c>
      <c r="E158" s="3" t="s">
        <v>232</v>
      </c>
      <c r="F158" s="3" t="s">
        <v>59</v>
      </c>
      <c r="G158" s="4"/>
      <c r="H158" s="4">
        <v>182280</v>
      </c>
      <c r="I158" s="4">
        <v>0</v>
      </c>
      <c r="J158" s="4"/>
      <c r="K158" s="4"/>
      <c r="L158" s="4"/>
      <c r="M158" s="4">
        <v>0</v>
      </c>
    </row>
    <row r="159" spans="1:13" ht="29.25" x14ac:dyDescent="0.25">
      <c r="A159" s="25" t="s">
        <v>92</v>
      </c>
      <c r="B159" s="22">
        <v>873</v>
      </c>
      <c r="C159" s="23" t="s">
        <v>68</v>
      </c>
      <c r="D159" s="23"/>
      <c r="E159" s="23"/>
      <c r="F159" s="23"/>
      <c r="G159" s="5">
        <f t="shared" ref="G159:M159" si="64">G160+G164+G166+G162</f>
        <v>22450800</v>
      </c>
      <c r="H159" s="5">
        <f t="shared" si="64"/>
        <v>35153800</v>
      </c>
      <c r="I159" s="5">
        <f t="shared" si="64"/>
        <v>34945500</v>
      </c>
      <c r="J159" s="5">
        <f t="shared" si="64"/>
        <v>31110900</v>
      </c>
      <c r="K159" s="5">
        <f t="shared" si="64"/>
        <v>31110900</v>
      </c>
      <c r="L159" s="5">
        <f t="shared" si="64"/>
        <v>31110900</v>
      </c>
      <c r="M159" s="5">
        <f t="shared" si="64"/>
        <v>34945500</v>
      </c>
    </row>
    <row r="160" spans="1:13" ht="165" x14ac:dyDescent="0.25">
      <c r="A160" s="10" t="s">
        <v>107</v>
      </c>
      <c r="B160" s="2">
        <v>873</v>
      </c>
      <c r="C160" s="3">
        <v>10</v>
      </c>
      <c r="D160" s="3" t="s">
        <v>10</v>
      </c>
      <c r="E160" s="3" t="s">
        <v>30</v>
      </c>
      <c r="F160" s="3"/>
      <c r="G160" s="4">
        <f t="shared" ref="G160:M160" si="65">G161</f>
        <v>11592900</v>
      </c>
      <c r="H160" s="4">
        <f>H161</f>
        <v>17909300</v>
      </c>
      <c r="I160" s="4">
        <f t="shared" si="65"/>
        <v>17909300</v>
      </c>
      <c r="J160" s="4">
        <f t="shared" si="65"/>
        <v>17909300</v>
      </c>
      <c r="K160" s="4">
        <f t="shared" si="65"/>
        <v>17909300</v>
      </c>
      <c r="L160" s="4">
        <f t="shared" si="65"/>
        <v>17909300</v>
      </c>
      <c r="M160" s="4">
        <f t="shared" si="65"/>
        <v>17909300</v>
      </c>
    </row>
    <row r="161" spans="1:14" ht="45" x14ac:dyDescent="0.25">
      <c r="A161" s="10" t="s">
        <v>95</v>
      </c>
      <c r="B161" s="2">
        <v>873</v>
      </c>
      <c r="C161" s="3">
        <v>10</v>
      </c>
      <c r="D161" s="3" t="s">
        <v>10</v>
      </c>
      <c r="E161" s="3" t="s">
        <v>30</v>
      </c>
      <c r="F161" s="3" t="s">
        <v>62</v>
      </c>
      <c r="G161" s="4">
        <f>12309200-716300</f>
        <v>11592900</v>
      </c>
      <c r="H161" s="4">
        <v>17909300</v>
      </c>
      <c r="I161" s="4">
        <v>17909300</v>
      </c>
      <c r="J161" s="4">
        <v>17909300</v>
      </c>
      <c r="K161" s="4">
        <v>17909300</v>
      </c>
      <c r="L161" s="4">
        <v>17909300</v>
      </c>
      <c r="M161" s="4">
        <v>17909300</v>
      </c>
    </row>
    <row r="162" spans="1:14" ht="90" x14ac:dyDescent="0.25">
      <c r="A162" s="10" t="s">
        <v>139</v>
      </c>
      <c r="B162" s="2">
        <v>873</v>
      </c>
      <c r="C162" s="3" t="s">
        <v>68</v>
      </c>
      <c r="D162" s="3" t="s">
        <v>10</v>
      </c>
      <c r="E162" s="3" t="s">
        <v>138</v>
      </c>
      <c r="F162" s="3"/>
      <c r="G162" s="4">
        <f t="shared" ref="G162:M162" si="66">G163</f>
        <v>7537700</v>
      </c>
      <c r="H162" s="4">
        <f t="shared" si="66"/>
        <v>13201600</v>
      </c>
      <c r="I162" s="4">
        <f t="shared" si="66"/>
        <v>13201600</v>
      </c>
      <c r="J162" s="4">
        <f t="shared" si="66"/>
        <v>13201600</v>
      </c>
      <c r="K162" s="4">
        <f t="shared" si="66"/>
        <v>13201600</v>
      </c>
      <c r="L162" s="4">
        <f t="shared" si="66"/>
        <v>13201600</v>
      </c>
      <c r="M162" s="4">
        <f t="shared" si="66"/>
        <v>13201600</v>
      </c>
    </row>
    <row r="163" spans="1:14" ht="90" x14ac:dyDescent="0.25">
      <c r="A163" s="10" t="s">
        <v>139</v>
      </c>
      <c r="B163" s="2">
        <v>873</v>
      </c>
      <c r="C163" s="3" t="s">
        <v>68</v>
      </c>
      <c r="D163" s="3" t="s">
        <v>10</v>
      </c>
      <c r="E163" s="3" t="s">
        <v>138</v>
      </c>
      <c r="F163" s="3" t="s">
        <v>62</v>
      </c>
      <c r="G163" s="4">
        <f>8087700-550000</f>
        <v>7537700</v>
      </c>
      <c r="H163" s="4">
        <v>13201600</v>
      </c>
      <c r="I163" s="4">
        <v>13201600</v>
      </c>
      <c r="J163" s="4">
        <v>13201600</v>
      </c>
      <c r="K163" s="4">
        <v>13201600</v>
      </c>
      <c r="L163" s="4">
        <v>13201600</v>
      </c>
      <c r="M163" s="4">
        <v>13201600</v>
      </c>
    </row>
    <row r="164" spans="1:14" ht="150" x14ac:dyDescent="0.25">
      <c r="A164" s="10" t="s">
        <v>105</v>
      </c>
      <c r="B164" s="2">
        <v>873</v>
      </c>
      <c r="C164" s="3" t="s">
        <v>68</v>
      </c>
      <c r="D164" s="3" t="s">
        <v>10</v>
      </c>
      <c r="E164" s="3" t="s">
        <v>31</v>
      </c>
      <c r="F164" s="3"/>
      <c r="G164" s="4">
        <f>G165</f>
        <v>10000</v>
      </c>
      <c r="H164" s="4">
        <f>H165</f>
        <v>26000</v>
      </c>
      <c r="I164" s="4">
        <f>I165</f>
        <v>26000</v>
      </c>
      <c r="M164" s="6">
        <f>M165</f>
        <v>26000</v>
      </c>
    </row>
    <row r="165" spans="1:14" ht="90" x14ac:dyDescent="0.25">
      <c r="A165" s="10" t="s">
        <v>50</v>
      </c>
      <c r="B165" s="2">
        <v>873</v>
      </c>
      <c r="C165" s="3">
        <v>10</v>
      </c>
      <c r="D165" s="3" t="s">
        <v>10</v>
      </c>
      <c r="E165" s="3" t="s">
        <v>31</v>
      </c>
      <c r="F165" s="3" t="s">
        <v>62</v>
      </c>
      <c r="G165" s="4">
        <v>10000</v>
      </c>
      <c r="H165" s="4">
        <v>26000</v>
      </c>
      <c r="I165" s="4">
        <v>26000</v>
      </c>
      <c r="M165" s="6">
        <v>26000</v>
      </c>
    </row>
    <row r="166" spans="1:14" ht="120" x14ac:dyDescent="0.25">
      <c r="A166" s="10" t="s">
        <v>106</v>
      </c>
      <c r="B166" s="2">
        <v>873</v>
      </c>
      <c r="C166" s="3">
        <v>10</v>
      </c>
      <c r="D166" s="3" t="s">
        <v>12</v>
      </c>
      <c r="E166" s="3" t="s">
        <v>32</v>
      </c>
      <c r="F166" s="3"/>
      <c r="G166" s="4">
        <f t="shared" ref="G166:M166" si="67">G167</f>
        <v>3310200</v>
      </c>
      <c r="H166" s="4">
        <f t="shared" si="67"/>
        <v>4016900</v>
      </c>
      <c r="I166" s="4">
        <f t="shared" si="67"/>
        <v>3808600</v>
      </c>
      <c r="J166" s="4">
        <f t="shared" si="67"/>
        <v>0</v>
      </c>
      <c r="K166" s="4">
        <f t="shared" si="67"/>
        <v>0</v>
      </c>
      <c r="L166" s="4">
        <f t="shared" si="67"/>
        <v>0</v>
      </c>
      <c r="M166" s="4">
        <f t="shared" si="67"/>
        <v>3808600</v>
      </c>
    </row>
    <row r="167" spans="1:14" ht="165" x14ac:dyDescent="0.25">
      <c r="A167" s="10" t="s">
        <v>69</v>
      </c>
      <c r="B167" s="2">
        <v>873</v>
      </c>
      <c r="C167" s="3">
        <v>10</v>
      </c>
      <c r="D167" s="3" t="s">
        <v>12</v>
      </c>
      <c r="E167" s="3" t="s">
        <v>32</v>
      </c>
      <c r="F167" s="3" t="s">
        <v>59</v>
      </c>
      <c r="G167" s="4">
        <v>3310200</v>
      </c>
      <c r="H167" s="4">
        <v>4016900</v>
      </c>
      <c r="I167" s="4">
        <v>3808600</v>
      </c>
      <c r="M167" s="6">
        <v>3808600</v>
      </c>
    </row>
    <row r="168" spans="1:14" ht="129" x14ac:dyDescent="0.25">
      <c r="A168" s="25" t="s">
        <v>136</v>
      </c>
      <c r="B168" s="22">
        <v>875</v>
      </c>
      <c r="C168" s="3"/>
      <c r="D168" s="3"/>
      <c r="E168" s="3"/>
      <c r="F168" s="3"/>
      <c r="G168" s="5" t="e">
        <f>G176+G177+G170+G172+#REF!+#REF!</f>
        <v>#REF!</v>
      </c>
      <c r="H168" s="5">
        <f>H169+H172+H176+H177+H181</f>
        <v>75865415</v>
      </c>
      <c r="I168" s="5">
        <f t="shared" ref="I168:M168" si="68">I169+I172+I176+I177</f>
        <v>73206645</v>
      </c>
      <c r="J168" s="5">
        <f t="shared" si="68"/>
        <v>74061032.5</v>
      </c>
      <c r="K168" s="5">
        <f t="shared" si="68"/>
        <v>74061032.5</v>
      </c>
      <c r="L168" s="5">
        <f t="shared" si="68"/>
        <v>74061032.5</v>
      </c>
      <c r="M168" s="5">
        <f t="shared" si="68"/>
        <v>73206645</v>
      </c>
    </row>
    <row r="169" spans="1:14" ht="29.25" x14ac:dyDescent="0.25">
      <c r="A169" s="25" t="s">
        <v>108</v>
      </c>
      <c r="B169" s="22">
        <v>875</v>
      </c>
      <c r="C169" s="3" t="s">
        <v>13</v>
      </c>
      <c r="D169" s="3" t="s">
        <v>13</v>
      </c>
      <c r="E169" s="3"/>
      <c r="F169" s="3"/>
      <c r="G169" s="5"/>
      <c r="H169" s="5">
        <f t="shared" ref="H169:M169" si="69">H170+H171</f>
        <v>123000</v>
      </c>
      <c r="I169" s="5">
        <f t="shared" si="69"/>
        <v>123000</v>
      </c>
      <c r="J169" s="5">
        <f t="shared" si="69"/>
        <v>123000</v>
      </c>
      <c r="K169" s="5">
        <f t="shared" si="69"/>
        <v>123000</v>
      </c>
      <c r="L169" s="5">
        <f t="shared" si="69"/>
        <v>123000</v>
      </c>
      <c r="M169" s="5">
        <f t="shared" si="69"/>
        <v>123000</v>
      </c>
    </row>
    <row r="170" spans="1:14" ht="60" x14ac:dyDescent="0.25">
      <c r="A170" s="10" t="s">
        <v>156</v>
      </c>
      <c r="B170" s="2">
        <v>875</v>
      </c>
      <c r="C170" s="3" t="s">
        <v>13</v>
      </c>
      <c r="D170" s="3" t="s">
        <v>13</v>
      </c>
      <c r="E170" s="3" t="s">
        <v>153</v>
      </c>
      <c r="F170" s="3" t="s">
        <v>60</v>
      </c>
      <c r="G170" s="4" t="e">
        <f>#REF!</f>
        <v>#REF!</v>
      </c>
      <c r="H170" s="4">
        <v>123000</v>
      </c>
      <c r="I170" s="4">
        <v>123000</v>
      </c>
      <c r="J170" s="4">
        <v>123000</v>
      </c>
      <c r="K170" s="4">
        <v>123000</v>
      </c>
      <c r="L170" s="4">
        <v>123000</v>
      </c>
      <c r="M170" s="4">
        <v>123000</v>
      </c>
    </row>
    <row r="171" spans="1:14" ht="75" hidden="1" x14ac:dyDescent="0.25">
      <c r="A171" s="10" t="s">
        <v>180</v>
      </c>
      <c r="B171" s="2">
        <v>875</v>
      </c>
      <c r="C171" s="3" t="s">
        <v>13</v>
      </c>
      <c r="D171" s="3" t="s">
        <v>13</v>
      </c>
      <c r="E171" s="3" t="s">
        <v>126</v>
      </c>
      <c r="F171" s="3" t="s">
        <v>60</v>
      </c>
      <c r="G171" s="4"/>
      <c r="H171" s="4">
        <v>0</v>
      </c>
      <c r="I171" s="4">
        <v>0</v>
      </c>
      <c r="J171" s="4"/>
      <c r="K171" s="4"/>
      <c r="L171" s="4"/>
      <c r="M171" s="4">
        <v>0</v>
      </c>
    </row>
    <row r="172" spans="1:14" ht="240" x14ac:dyDescent="0.25">
      <c r="A172" s="10" t="s">
        <v>129</v>
      </c>
      <c r="B172" s="2">
        <v>875</v>
      </c>
      <c r="C172" s="3" t="s">
        <v>116</v>
      </c>
      <c r="D172" s="3" t="s">
        <v>9</v>
      </c>
      <c r="E172" s="3"/>
      <c r="F172" s="3"/>
      <c r="G172" s="4">
        <f t="shared" ref="G172:M172" si="70">G173+G174+G175</f>
        <v>53820218.119999997</v>
      </c>
      <c r="H172" s="4">
        <f t="shared" si="70"/>
        <v>70707571</v>
      </c>
      <c r="I172" s="4">
        <f t="shared" si="70"/>
        <v>68678241</v>
      </c>
      <c r="J172" s="4">
        <f t="shared" si="70"/>
        <v>68547190.900000006</v>
      </c>
      <c r="K172" s="4">
        <f t="shared" si="70"/>
        <v>68547190.900000006</v>
      </c>
      <c r="L172" s="4">
        <f t="shared" si="70"/>
        <v>68547190.900000006</v>
      </c>
      <c r="M172" s="4">
        <f t="shared" si="70"/>
        <v>68678241</v>
      </c>
    </row>
    <row r="173" spans="1:14" ht="165" x14ac:dyDescent="0.25">
      <c r="A173" s="10" t="s">
        <v>69</v>
      </c>
      <c r="B173" s="2">
        <v>875</v>
      </c>
      <c r="C173" s="3" t="s">
        <v>116</v>
      </c>
      <c r="D173" s="3" t="s">
        <v>9</v>
      </c>
      <c r="E173" s="3" t="s">
        <v>119</v>
      </c>
      <c r="F173" s="3" t="s">
        <v>59</v>
      </c>
      <c r="G173" s="4">
        <f>38632661+900000+408720+690337</f>
        <v>40631718</v>
      </c>
      <c r="H173" s="4">
        <f>52806241+234360+1529330</f>
        <v>54569931</v>
      </c>
      <c r="I173" s="4">
        <v>52806241</v>
      </c>
      <c r="J173" s="4">
        <v>51496190.900000006</v>
      </c>
      <c r="K173" s="4">
        <v>51496190.900000006</v>
      </c>
      <c r="L173" s="4">
        <v>51496190.900000006</v>
      </c>
      <c r="M173" s="4">
        <v>52806241</v>
      </c>
      <c r="N173" s="24"/>
    </row>
    <row r="174" spans="1:14" ht="60" x14ac:dyDescent="0.25">
      <c r="A174" s="10" t="s">
        <v>88</v>
      </c>
      <c r="B174" s="2">
        <v>875</v>
      </c>
      <c r="C174" s="3" t="s">
        <v>116</v>
      </c>
      <c r="D174" s="3" t="s">
        <v>9</v>
      </c>
      <c r="E174" s="3" t="s">
        <v>119</v>
      </c>
      <c r="F174" s="3" t="s">
        <v>60</v>
      </c>
      <c r="G174" s="4">
        <f>4172000+953000+3553000+514000+500.12+400000+200000+1590000</f>
        <v>11382500.119999999</v>
      </c>
      <c r="H174" s="4">
        <f>12582000-234360+500000</f>
        <v>12847640</v>
      </c>
      <c r="I174" s="4">
        <v>12582000</v>
      </c>
      <c r="J174" s="4">
        <f>14921000+200000</f>
        <v>15121000</v>
      </c>
      <c r="K174" s="4">
        <f>14921000+200000</f>
        <v>15121000</v>
      </c>
      <c r="L174" s="4">
        <f>14921000+200000</f>
        <v>15121000</v>
      </c>
      <c r="M174" s="4">
        <v>12582000</v>
      </c>
    </row>
    <row r="175" spans="1:14" ht="30" x14ac:dyDescent="0.25">
      <c r="A175" s="10" t="s">
        <v>72</v>
      </c>
      <c r="B175" s="2">
        <v>875</v>
      </c>
      <c r="C175" s="3" t="s">
        <v>116</v>
      </c>
      <c r="D175" s="3" t="s">
        <v>9</v>
      </c>
      <c r="E175" s="3" t="s">
        <v>119</v>
      </c>
      <c r="F175" s="3" t="s">
        <v>61</v>
      </c>
      <c r="G175" s="4">
        <f>1200000+5000+301000+100000+200000</f>
        <v>1806000</v>
      </c>
      <c r="H175" s="4">
        <v>3290000</v>
      </c>
      <c r="I175" s="4">
        <v>3290000</v>
      </c>
      <c r="J175" s="4">
        <v>1930000</v>
      </c>
      <c r="K175" s="4">
        <v>1930000</v>
      </c>
      <c r="L175" s="4">
        <v>1930000</v>
      </c>
      <c r="M175" s="4">
        <v>3290000</v>
      </c>
    </row>
    <row r="176" spans="1:14" ht="30" x14ac:dyDescent="0.25">
      <c r="A176" s="8" t="s">
        <v>122</v>
      </c>
      <c r="B176" s="2">
        <v>875</v>
      </c>
      <c r="C176" s="3" t="s">
        <v>116</v>
      </c>
      <c r="D176" s="3" t="s">
        <v>9</v>
      </c>
      <c r="E176" s="3" t="s">
        <v>229</v>
      </c>
      <c r="F176" s="3" t="s">
        <v>62</v>
      </c>
      <c r="G176" s="4">
        <f>250000+350000</f>
        <v>600000</v>
      </c>
      <c r="H176" s="4">
        <f>500000+500000</f>
        <v>1000000</v>
      </c>
      <c r="I176" s="4">
        <v>500000</v>
      </c>
      <c r="J176" s="4">
        <v>980000</v>
      </c>
      <c r="K176" s="4">
        <v>980000</v>
      </c>
      <c r="L176" s="4">
        <v>980000</v>
      </c>
      <c r="M176" s="4">
        <v>500000</v>
      </c>
    </row>
    <row r="177" spans="1:14" ht="60" x14ac:dyDescent="0.25">
      <c r="A177" s="10" t="s">
        <v>133</v>
      </c>
      <c r="B177" s="2">
        <v>875</v>
      </c>
      <c r="C177" s="3" t="s">
        <v>116</v>
      </c>
      <c r="D177" s="3" t="s">
        <v>11</v>
      </c>
      <c r="E177" s="3" t="s">
        <v>46</v>
      </c>
      <c r="F177" s="3"/>
      <c r="G177" s="4">
        <f t="shared" ref="G177:M177" si="71">G178+G179+G180</f>
        <v>3662898</v>
      </c>
      <c r="H177" s="4">
        <f t="shared" si="71"/>
        <v>3943704</v>
      </c>
      <c r="I177" s="4">
        <f t="shared" si="71"/>
        <v>3905404</v>
      </c>
      <c r="J177" s="4">
        <f t="shared" si="71"/>
        <v>4410841.5999999996</v>
      </c>
      <c r="K177" s="4">
        <f t="shared" si="71"/>
        <v>4410841.5999999996</v>
      </c>
      <c r="L177" s="4">
        <f t="shared" si="71"/>
        <v>4410841.5999999996</v>
      </c>
      <c r="M177" s="4">
        <f t="shared" si="71"/>
        <v>3905404</v>
      </c>
    </row>
    <row r="178" spans="1:14" ht="165" x14ac:dyDescent="0.25">
      <c r="A178" s="10" t="s">
        <v>69</v>
      </c>
      <c r="B178" s="2">
        <v>875</v>
      </c>
      <c r="C178" s="3">
        <v>11</v>
      </c>
      <c r="D178" s="3" t="s">
        <v>11</v>
      </c>
      <c r="E178" s="3" t="s">
        <v>46</v>
      </c>
      <c r="F178" s="3" t="s">
        <v>59</v>
      </c>
      <c r="G178" s="4">
        <f>1603869+576929+102100</f>
        <v>2282898</v>
      </c>
      <c r="H178" s="4">
        <f>2419404+38300</f>
        <v>2457704</v>
      </c>
      <c r="I178" s="4">
        <v>2419404</v>
      </c>
      <c r="J178" s="4">
        <v>2914841.6</v>
      </c>
      <c r="K178" s="4">
        <v>2914841.6</v>
      </c>
      <c r="L178" s="4">
        <v>2914841.6</v>
      </c>
      <c r="M178" s="4">
        <v>2419404</v>
      </c>
      <c r="N178" s="24"/>
    </row>
    <row r="179" spans="1:14" ht="60" x14ac:dyDescent="0.25">
      <c r="A179" s="8" t="s">
        <v>88</v>
      </c>
      <c r="B179" s="2">
        <v>875</v>
      </c>
      <c r="C179" s="3" t="s">
        <v>116</v>
      </c>
      <c r="D179" s="3" t="s">
        <v>11</v>
      </c>
      <c r="E179" s="3" t="s">
        <v>46</v>
      </c>
      <c r="F179" s="3" t="s">
        <v>60</v>
      </c>
      <c r="G179" s="4">
        <f>920000+450000</f>
        <v>1370000</v>
      </c>
      <c r="H179" s="4">
        <v>1476000</v>
      </c>
      <c r="I179" s="4">
        <v>1476000</v>
      </c>
      <c r="J179" s="4">
        <v>1486000</v>
      </c>
      <c r="K179" s="4">
        <v>1486000</v>
      </c>
      <c r="L179" s="4">
        <v>1486000</v>
      </c>
      <c r="M179" s="4">
        <v>1476000</v>
      </c>
    </row>
    <row r="180" spans="1:14" ht="30" x14ac:dyDescent="0.25">
      <c r="A180" s="8" t="s">
        <v>137</v>
      </c>
      <c r="B180" s="2">
        <v>875</v>
      </c>
      <c r="C180" s="3" t="s">
        <v>116</v>
      </c>
      <c r="D180" s="3" t="s">
        <v>11</v>
      </c>
      <c r="E180" s="3" t="s">
        <v>46</v>
      </c>
      <c r="F180" s="3" t="s">
        <v>61</v>
      </c>
      <c r="G180" s="4">
        <v>10000</v>
      </c>
      <c r="H180" s="4">
        <v>10000</v>
      </c>
      <c r="I180" s="4">
        <v>10000</v>
      </c>
      <c r="J180" s="4">
        <v>10000</v>
      </c>
      <c r="K180" s="4">
        <v>10000</v>
      </c>
      <c r="L180" s="4">
        <v>10000</v>
      </c>
      <c r="M180" s="4">
        <v>10000</v>
      </c>
    </row>
    <row r="181" spans="1:14" ht="105" x14ac:dyDescent="0.25">
      <c r="A181" s="8" t="s">
        <v>233</v>
      </c>
      <c r="B181" s="2">
        <v>875</v>
      </c>
      <c r="C181" s="3" t="s">
        <v>116</v>
      </c>
      <c r="D181" s="3" t="s">
        <v>11</v>
      </c>
      <c r="E181" s="3" t="s">
        <v>232</v>
      </c>
      <c r="F181" s="3" t="s">
        <v>59</v>
      </c>
      <c r="G181" s="4"/>
      <c r="H181" s="4">
        <v>91140</v>
      </c>
      <c r="I181" s="4">
        <v>0</v>
      </c>
      <c r="J181" s="4"/>
      <c r="K181" s="4"/>
      <c r="L181" s="4"/>
      <c r="M181" s="4">
        <v>0</v>
      </c>
    </row>
    <row r="182" spans="1:14" ht="43.5" x14ac:dyDescent="0.25">
      <c r="A182" s="21" t="s">
        <v>187</v>
      </c>
      <c r="B182" s="22">
        <v>879</v>
      </c>
      <c r="C182" s="23"/>
      <c r="D182" s="23"/>
      <c r="E182" s="23"/>
      <c r="F182" s="23"/>
      <c r="G182" s="5"/>
      <c r="H182" s="5">
        <f>H183+H185+H186+H184+H187</f>
        <v>18659719</v>
      </c>
      <c r="I182" s="5">
        <f t="shared" ref="I182:M182" si="72">I183+I185+I186</f>
        <v>7468509</v>
      </c>
      <c r="J182" s="5">
        <f t="shared" si="72"/>
        <v>3908355.0000000005</v>
      </c>
      <c r="K182" s="5">
        <f t="shared" si="72"/>
        <v>3908355.0000000005</v>
      </c>
      <c r="L182" s="5">
        <f t="shared" si="72"/>
        <v>3908355.0000000005</v>
      </c>
      <c r="M182" s="5">
        <f t="shared" si="72"/>
        <v>7468509</v>
      </c>
    </row>
    <row r="183" spans="1:14" ht="165" x14ac:dyDescent="0.25">
      <c r="A183" s="8" t="s">
        <v>69</v>
      </c>
      <c r="B183" s="2">
        <v>879</v>
      </c>
      <c r="C183" s="3" t="s">
        <v>11</v>
      </c>
      <c r="D183" s="3" t="s">
        <v>11</v>
      </c>
      <c r="E183" s="3" t="s">
        <v>43</v>
      </c>
      <c r="F183" s="3" t="s">
        <v>59</v>
      </c>
      <c r="G183" s="4"/>
      <c r="H183" s="4">
        <f>4248509+21100</f>
        <v>4269609</v>
      </c>
      <c r="I183" s="4">
        <v>4248509</v>
      </c>
      <c r="J183" s="4">
        <v>3908355.0000000005</v>
      </c>
      <c r="K183" s="4">
        <v>3908355.0000000005</v>
      </c>
      <c r="L183" s="4">
        <v>3908355.0000000005</v>
      </c>
      <c r="M183" s="4">
        <v>4248509</v>
      </c>
      <c r="N183" s="24"/>
    </row>
    <row r="184" spans="1:14" ht="60" x14ac:dyDescent="0.25">
      <c r="A184" s="8" t="s">
        <v>186</v>
      </c>
      <c r="B184" s="2">
        <v>879</v>
      </c>
      <c r="C184" s="3" t="s">
        <v>13</v>
      </c>
      <c r="D184" s="3" t="s">
        <v>14</v>
      </c>
      <c r="E184" s="3" t="s">
        <v>185</v>
      </c>
      <c r="F184" s="3" t="s">
        <v>60</v>
      </c>
      <c r="G184" s="4"/>
      <c r="H184" s="4">
        <v>9202260</v>
      </c>
      <c r="I184" s="4">
        <v>0</v>
      </c>
      <c r="J184" s="4"/>
      <c r="K184" s="4"/>
      <c r="L184" s="4"/>
      <c r="M184" s="4">
        <v>0</v>
      </c>
      <c r="N184" s="24"/>
    </row>
    <row r="185" spans="1:14" ht="60" x14ac:dyDescent="0.25">
      <c r="A185" s="8" t="s">
        <v>88</v>
      </c>
      <c r="B185" s="2">
        <v>879</v>
      </c>
      <c r="C185" s="3" t="s">
        <v>11</v>
      </c>
      <c r="D185" s="3" t="s">
        <v>11</v>
      </c>
      <c r="E185" s="3" t="s">
        <v>43</v>
      </c>
      <c r="F185" s="3" t="s">
        <v>60</v>
      </c>
      <c r="G185" s="4"/>
      <c r="H185" s="4">
        <v>3220000</v>
      </c>
      <c r="I185" s="4">
        <v>3220000</v>
      </c>
      <c r="J185" s="4"/>
      <c r="K185" s="4"/>
      <c r="L185" s="4"/>
      <c r="M185" s="4">
        <v>3220000</v>
      </c>
    </row>
    <row r="186" spans="1:14" ht="30" x14ac:dyDescent="0.25">
      <c r="A186" s="8" t="s">
        <v>188</v>
      </c>
      <c r="B186" s="2">
        <v>879</v>
      </c>
      <c r="C186" s="3" t="s">
        <v>8</v>
      </c>
      <c r="D186" s="3" t="s">
        <v>18</v>
      </c>
      <c r="E186" s="3" t="s">
        <v>39</v>
      </c>
      <c r="F186" s="3" t="s">
        <v>60</v>
      </c>
      <c r="G186" s="4"/>
      <c r="H186" s="4">
        <v>1740000</v>
      </c>
      <c r="I186" s="4">
        <v>0</v>
      </c>
      <c r="J186" s="4"/>
      <c r="K186" s="4"/>
      <c r="L186" s="4"/>
      <c r="M186" s="4">
        <v>0</v>
      </c>
    </row>
    <row r="187" spans="1:14" ht="105" x14ac:dyDescent="0.25">
      <c r="A187" s="8" t="s">
        <v>233</v>
      </c>
      <c r="B187" s="2">
        <v>879</v>
      </c>
      <c r="C187" s="3" t="s">
        <v>11</v>
      </c>
      <c r="D187" s="3" t="s">
        <v>11</v>
      </c>
      <c r="E187" s="3" t="s">
        <v>232</v>
      </c>
      <c r="F187" s="3" t="s">
        <v>59</v>
      </c>
      <c r="G187" s="4"/>
      <c r="H187" s="4">
        <v>227850</v>
      </c>
      <c r="I187" s="4">
        <v>0</v>
      </c>
      <c r="J187" s="4"/>
      <c r="K187" s="4"/>
      <c r="L187" s="4"/>
      <c r="M187" s="4">
        <v>0</v>
      </c>
    </row>
    <row r="188" spans="1:14" s="12" customFormat="1" ht="99.75" x14ac:dyDescent="0.2">
      <c r="A188" s="25" t="s">
        <v>7</v>
      </c>
      <c r="B188" s="22">
        <v>857</v>
      </c>
      <c r="C188" s="23"/>
      <c r="D188" s="23"/>
      <c r="E188" s="23"/>
      <c r="F188" s="23"/>
      <c r="G188" s="5" t="e">
        <f t="shared" ref="G188:M188" si="73">G189+G197+G204+G210</f>
        <v>#REF!</v>
      </c>
      <c r="H188" s="5">
        <f t="shared" si="73"/>
        <v>47503101.640000001</v>
      </c>
      <c r="I188" s="5">
        <f t="shared" si="73"/>
        <v>40229250</v>
      </c>
      <c r="J188" s="5">
        <f t="shared" si="73"/>
        <v>41715414.000000007</v>
      </c>
      <c r="K188" s="5">
        <f t="shared" si="73"/>
        <v>41715414.000000007</v>
      </c>
      <c r="L188" s="5">
        <f t="shared" si="73"/>
        <v>41715414.000000007</v>
      </c>
      <c r="M188" s="5">
        <f t="shared" si="73"/>
        <v>40229250</v>
      </c>
    </row>
    <row r="189" spans="1:14" ht="29.25" x14ac:dyDescent="0.25">
      <c r="A189" s="25" t="s">
        <v>86</v>
      </c>
      <c r="B189" s="22">
        <v>857</v>
      </c>
      <c r="C189" s="23" t="s">
        <v>13</v>
      </c>
      <c r="D189" s="23" t="s">
        <v>9</v>
      </c>
      <c r="E189" s="23"/>
      <c r="F189" s="23"/>
      <c r="G189" s="5">
        <f t="shared" ref="G189:M189" si="74">G190</f>
        <v>12123250</v>
      </c>
      <c r="H189" s="5">
        <f t="shared" si="74"/>
        <v>14004757</v>
      </c>
      <c r="I189" s="5">
        <f t="shared" si="74"/>
        <v>13460757</v>
      </c>
      <c r="J189" s="5">
        <f t="shared" si="74"/>
        <v>13597532.000000002</v>
      </c>
      <c r="K189" s="5">
        <f t="shared" si="74"/>
        <v>13597532.000000002</v>
      </c>
      <c r="L189" s="5">
        <f t="shared" si="74"/>
        <v>13597532.000000002</v>
      </c>
      <c r="M189" s="5">
        <f t="shared" si="74"/>
        <v>13460757</v>
      </c>
    </row>
    <row r="190" spans="1:14" ht="135" x14ac:dyDescent="0.25">
      <c r="A190" s="10" t="s">
        <v>109</v>
      </c>
      <c r="B190" s="2">
        <v>857</v>
      </c>
      <c r="C190" s="3" t="s">
        <v>13</v>
      </c>
      <c r="D190" s="3" t="s">
        <v>9</v>
      </c>
      <c r="E190" s="3" t="s">
        <v>28</v>
      </c>
      <c r="F190" s="3"/>
      <c r="G190" s="4">
        <f>G191+G192+G193+G194</f>
        <v>12123250</v>
      </c>
      <c r="H190" s="4">
        <f t="shared" ref="H190:M190" si="75">H191+H192+H193+H194+H196</f>
        <v>14004757</v>
      </c>
      <c r="I190" s="4">
        <f t="shared" si="75"/>
        <v>13460757</v>
      </c>
      <c r="J190" s="4">
        <f t="shared" si="75"/>
        <v>13597532.000000002</v>
      </c>
      <c r="K190" s="4">
        <f t="shared" si="75"/>
        <v>13597532.000000002</v>
      </c>
      <c r="L190" s="4">
        <f t="shared" si="75"/>
        <v>13597532.000000002</v>
      </c>
      <c r="M190" s="4">
        <f t="shared" si="75"/>
        <v>13460757</v>
      </c>
    </row>
    <row r="191" spans="1:14" ht="165" x14ac:dyDescent="0.25">
      <c r="A191" s="10" t="s">
        <v>69</v>
      </c>
      <c r="B191" s="2">
        <v>857</v>
      </c>
      <c r="C191" s="3" t="s">
        <v>13</v>
      </c>
      <c r="D191" s="3" t="s">
        <v>9</v>
      </c>
      <c r="E191" s="3" t="s">
        <v>28</v>
      </c>
      <c r="F191" s="3" t="s">
        <v>59</v>
      </c>
      <c r="G191" s="4">
        <v>11333250</v>
      </c>
      <c r="H191" s="4">
        <f>12584757+544000</f>
        <v>13128757</v>
      </c>
      <c r="I191" s="4">
        <v>12584757</v>
      </c>
      <c r="J191" s="4">
        <v>12731532.000000002</v>
      </c>
      <c r="K191" s="4">
        <v>12731532.000000002</v>
      </c>
      <c r="L191" s="4">
        <v>12731532.000000002</v>
      </c>
      <c r="M191" s="4">
        <v>12584757</v>
      </c>
      <c r="N191" s="24"/>
    </row>
    <row r="192" spans="1:14" ht="60" x14ac:dyDescent="0.25">
      <c r="A192" s="10" t="s">
        <v>88</v>
      </c>
      <c r="B192" s="2">
        <v>857</v>
      </c>
      <c r="C192" s="3" t="s">
        <v>13</v>
      </c>
      <c r="D192" s="3" t="s">
        <v>9</v>
      </c>
      <c r="E192" s="3" t="s">
        <v>28</v>
      </c>
      <c r="F192" s="3" t="s">
        <v>60</v>
      </c>
      <c r="G192" s="4">
        <f>591000+165000</f>
        <v>756000</v>
      </c>
      <c r="H192" s="4">
        <v>850000</v>
      </c>
      <c r="I192" s="4">
        <v>850000</v>
      </c>
      <c r="J192" s="4">
        <v>820000</v>
      </c>
      <c r="K192" s="4">
        <v>820000</v>
      </c>
      <c r="L192" s="4">
        <v>820000</v>
      </c>
      <c r="M192" s="4">
        <v>850000</v>
      </c>
    </row>
    <row r="193" spans="1:14" ht="30" x14ac:dyDescent="0.25">
      <c r="A193" s="10" t="s">
        <v>72</v>
      </c>
      <c r="B193" s="2">
        <v>857</v>
      </c>
      <c r="C193" s="3" t="s">
        <v>13</v>
      </c>
      <c r="D193" s="3" t="s">
        <v>9</v>
      </c>
      <c r="E193" s="3" t="s">
        <v>28</v>
      </c>
      <c r="F193" s="3" t="s">
        <v>61</v>
      </c>
      <c r="G193" s="4">
        <f>10000+2000</f>
        <v>12000</v>
      </c>
      <c r="H193" s="4">
        <v>4000</v>
      </c>
      <c r="I193" s="4">
        <v>4000</v>
      </c>
      <c r="J193" s="4">
        <v>4000</v>
      </c>
      <c r="K193" s="4">
        <v>4000</v>
      </c>
      <c r="L193" s="4">
        <v>4000</v>
      </c>
      <c r="M193" s="4">
        <v>4000</v>
      </c>
    </row>
    <row r="194" spans="1:14" ht="60" x14ac:dyDescent="0.25">
      <c r="A194" s="10" t="s">
        <v>156</v>
      </c>
      <c r="B194" s="2">
        <v>857</v>
      </c>
      <c r="C194" s="3" t="s">
        <v>13</v>
      </c>
      <c r="D194" s="3" t="s">
        <v>13</v>
      </c>
      <c r="E194" s="3" t="s">
        <v>153</v>
      </c>
      <c r="F194" s="3"/>
      <c r="G194" s="4">
        <f t="shared" ref="G194:M194" si="76">G195</f>
        <v>22000</v>
      </c>
      <c r="H194" s="4">
        <f t="shared" si="76"/>
        <v>22000</v>
      </c>
      <c r="I194" s="4">
        <f t="shared" si="76"/>
        <v>22000</v>
      </c>
      <c r="J194" s="4">
        <f t="shared" si="76"/>
        <v>22000</v>
      </c>
      <c r="K194" s="4">
        <f t="shared" si="76"/>
        <v>22000</v>
      </c>
      <c r="L194" s="4">
        <f t="shared" si="76"/>
        <v>22000</v>
      </c>
      <c r="M194" s="4">
        <f t="shared" si="76"/>
        <v>22000</v>
      </c>
    </row>
    <row r="195" spans="1:14" ht="60" x14ac:dyDescent="0.25">
      <c r="A195" s="10" t="s">
        <v>156</v>
      </c>
      <c r="B195" s="2">
        <v>857</v>
      </c>
      <c r="C195" s="3" t="s">
        <v>13</v>
      </c>
      <c r="D195" s="3" t="s">
        <v>13</v>
      </c>
      <c r="E195" s="3" t="s">
        <v>153</v>
      </c>
      <c r="F195" s="3" t="s">
        <v>60</v>
      </c>
      <c r="G195" s="4">
        <f>20000+2000</f>
        <v>22000</v>
      </c>
      <c r="H195" s="4">
        <v>22000</v>
      </c>
      <c r="I195" s="4">
        <v>22000</v>
      </c>
      <c r="J195" s="4">
        <v>22000</v>
      </c>
      <c r="K195" s="4">
        <v>22000</v>
      </c>
      <c r="L195" s="4">
        <v>22000</v>
      </c>
      <c r="M195" s="4">
        <v>22000</v>
      </c>
    </row>
    <row r="196" spans="1:14" ht="30" hidden="1" x14ac:dyDescent="0.25">
      <c r="A196" s="10" t="s">
        <v>181</v>
      </c>
      <c r="B196" s="2">
        <v>857</v>
      </c>
      <c r="C196" s="3" t="s">
        <v>13</v>
      </c>
      <c r="D196" s="3" t="s">
        <v>13</v>
      </c>
      <c r="E196" s="3" t="s">
        <v>126</v>
      </c>
      <c r="F196" s="3" t="s">
        <v>60</v>
      </c>
      <c r="G196" s="4"/>
      <c r="H196" s="4">
        <v>0</v>
      </c>
      <c r="I196" s="4">
        <v>0</v>
      </c>
      <c r="J196" s="4">
        <v>20000</v>
      </c>
      <c r="K196" s="4">
        <v>20000</v>
      </c>
      <c r="L196" s="4">
        <v>20000</v>
      </c>
      <c r="M196" s="4">
        <v>0</v>
      </c>
    </row>
    <row r="197" spans="1:14" ht="29.25" x14ac:dyDescent="0.25">
      <c r="A197" s="25" t="s">
        <v>89</v>
      </c>
      <c r="B197" s="22">
        <v>857</v>
      </c>
      <c r="C197" s="23" t="s">
        <v>16</v>
      </c>
      <c r="D197" s="23" t="s">
        <v>8</v>
      </c>
      <c r="E197" s="23"/>
      <c r="F197" s="23"/>
      <c r="G197" s="5" t="e">
        <f t="shared" ref="G197" si="77">G199</f>
        <v>#REF!</v>
      </c>
      <c r="H197" s="5">
        <f>H199+H198+H209</f>
        <v>15620992.18</v>
      </c>
      <c r="I197" s="5">
        <f t="shared" ref="I197:M197" si="78">I199+I198</f>
        <v>9890657</v>
      </c>
      <c r="J197" s="5">
        <f t="shared" si="78"/>
        <v>9690657.3000000007</v>
      </c>
      <c r="K197" s="5">
        <f t="shared" si="78"/>
        <v>9690657.3000000007</v>
      </c>
      <c r="L197" s="5">
        <f t="shared" si="78"/>
        <v>9690657.3000000007</v>
      </c>
      <c r="M197" s="5">
        <f t="shared" si="78"/>
        <v>9890657</v>
      </c>
    </row>
    <row r="198" spans="1:14" ht="28.5" customHeight="1" x14ac:dyDescent="0.25">
      <c r="A198" s="10" t="s">
        <v>226</v>
      </c>
      <c r="B198" s="2">
        <v>857</v>
      </c>
      <c r="C198" s="3" t="s">
        <v>16</v>
      </c>
      <c r="D198" s="3" t="s">
        <v>8</v>
      </c>
      <c r="E198" s="3" t="s">
        <v>225</v>
      </c>
      <c r="F198" s="3" t="s">
        <v>60</v>
      </c>
      <c r="G198" s="4"/>
      <c r="H198" s="4">
        <v>271117.53000000003</v>
      </c>
      <c r="I198" s="4">
        <v>0</v>
      </c>
      <c r="J198" s="4"/>
      <c r="K198" s="4"/>
      <c r="L198" s="4"/>
      <c r="M198" s="4">
        <v>0</v>
      </c>
    </row>
    <row r="199" spans="1:14" ht="90" x14ac:dyDescent="0.25">
      <c r="A199" s="10" t="s">
        <v>110</v>
      </c>
      <c r="B199" s="2">
        <v>857</v>
      </c>
      <c r="C199" s="3" t="s">
        <v>16</v>
      </c>
      <c r="D199" s="3" t="s">
        <v>8</v>
      </c>
      <c r="E199" s="3" t="s">
        <v>33</v>
      </c>
      <c r="F199" s="3"/>
      <c r="G199" s="4" t="e">
        <f>G200+G201+G203+#REF!</f>
        <v>#REF!</v>
      </c>
      <c r="H199" s="4">
        <f>H200+H201+H203+H202</f>
        <v>15258734.65</v>
      </c>
      <c r="I199" s="4">
        <f>I200+I201+I203</f>
        <v>9890657</v>
      </c>
      <c r="J199" s="4">
        <f>J200+J201+J203</f>
        <v>9690657.3000000007</v>
      </c>
      <c r="K199" s="4">
        <f>K200+K201+K203</f>
        <v>9690657.3000000007</v>
      </c>
      <c r="L199" s="4">
        <f>L200+L201+L203</f>
        <v>9690657.3000000007</v>
      </c>
      <c r="M199" s="4">
        <f>M200+M201+M203</f>
        <v>9890657</v>
      </c>
    </row>
    <row r="200" spans="1:14" ht="165" x14ac:dyDescent="0.25">
      <c r="A200" s="29" t="s">
        <v>69</v>
      </c>
      <c r="B200" s="2">
        <v>857</v>
      </c>
      <c r="C200" s="3" t="s">
        <v>16</v>
      </c>
      <c r="D200" s="3" t="s">
        <v>8</v>
      </c>
      <c r="E200" s="3" t="s">
        <v>33</v>
      </c>
      <c r="F200" s="3" t="s">
        <v>59</v>
      </c>
      <c r="G200" s="4">
        <v>8030675</v>
      </c>
      <c r="H200" s="4">
        <f>9025657+373500</f>
        <v>9399157</v>
      </c>
      <c r="I200" s="4">
        <v>9025657</v>
      </c>
      <c r="J200" s="4">
        <v>9025657.3000000007</v>
      </c>
      <c r="K200" s="4">
        <v>9025657.3000000007</v>
      </c>
      <c r="L200" s="4">
        <v>9025657.3000000007</v>
      </c>
      <c r="M200" s="4">
        <v>9025657</v>
      </c>
      <c r="N200" s="24"/>
    </row>
    <row r="201" spans="1:14" ht="60" x14ac:dyDescent="0.25">
      <c r="A201" s="29" t="s">
        <v>112</v>
      </c>
      <c r="B201" s="2">
        <v>857</v>
      </c>
      <c r="C201" s="3" t="s">
        <v>16</v>
      </c>
      <c r="D201" s="3" t="s">
        <v>8</v>
      </c>
      <c r="E201" s="3" t="s">
        <v>33</v>
      </c>
      <c r="F201" s="3" t="s">
        <v>60</v>
      </c>
      <c r="G201" s="4">
        <v>710000</v>
      </c>
      <c r="H201" s="4">
        <v>854577.65</v>
      </c>
      <c r="I201" s="4">
        <v>860000</v>
      </c>
      <c r="J201" s="4">
        <v>660000</v>
      </c>
      <c r="K201" s="4">
        <v>660000</v>
      </c>
      <c r="L201" s="4">
        <v>660000</v>
      </c>
      <c r="M201" s="4">
        <v>860000</v>
      </c>
    </row>
    <row r="202" spans="1:14" ht="105" x14ac:dyDescent="0.25">
      <c r="A202" s="29" t="s">
        <v>196</v>
      </c>
      <c r="B202" s="2">
        <v>857</v>
      </c>
      <c r="C202" s="3" t="s">
        <v>16</v>
      </c>
      <c r="D202" s="3" t="s">
        <v>8</v>
      </c>
      <c r="E202" s="3" t="s">
        <v>217</v>
      </c>
      <c r="F202" s="3" t="s">
        <v>60</v>
      </c>
      <c r="G202" s="4"/>
      <c r="H202" s="4">
        <v>5000000</v>
      </c>
      <c r="I202" s="4">
        <v>0</v>
      </c>
      <c r="J202" s="4"/>
      <c r="K202" s="4"/>
      <c r="L202" s="4"/>
      <c r="M202" s="4">
        <v>0</v>
      </c>
    </row>
    <row r="203" spans="1:14" ht="30" x14ac:dyDescent="0.25">
      <c r="A203" s="29" t="s">
        <v>72</v>
      </c>
      <c r="B203" s="2">
        <v>857</v>
      </c>
      <c r="C203" s="3" t="s">
        <v>16</v>
      </c>
      <c r="D203" s="3" t="s">
        <v>8</v>
      </c>
      <c r="E203" s="3" t="s">
        <v>33</v>
      </c>
      <c r="F203" s="3" t="s">
        <v>61</v>
      </c>
      <c r="G203" s="4">
        <v>5000</v>
      </c>
      <c r="H203" s="4">
        <v>5000</v>
      </c>
      <c r="I203" s="4">
        <v>5000</v>
      </c>
      <c r="J203" s="4">
        <v>5000</v>
      </c>
      <c r="K203" s="4">
        <v>5000</v>
      </c>
      <c r="L203" s="4">
        <v>5000</v>
      </c>
      <c r="M203" s="4">
        <v>5000</v>
      </c>
    </row>
    <row r="204" spans="1:14" ht="45" x14ac:dyDescent="0.25">
      <c r="A204" s="29" t="s">
        <v>90</v>
      </c>
      <c r="B204" s="2">
        <v>857</v>
      </c>
      <c r="C204" s="3" t="s">
        <v>16</v>
      </c>
      <c r="D204" s="3" t="s">
        <v>10</v>
      </c>
      <c r="E204" s="3"/>
      <c r="F204" s="3"/>
      <c r="G204" s="4">
        <f t="shared" ref="G204:M204" si="79">G205</f>
        <v>9041374.1400000006</v>
      </c>
      <c r="H204" s="4">
        <f t="shared" si="79"/>
        <v>10680890</v>
      </c>
      <c r="I204" s="4">
        <f t="shared" si="79"/>
        <v>10207690</v>
      </c>
      <c r="J204" s="4">
        <f t="shared" si="79"/>
        <v>11293459</v>
      </c>
      <c r="K204" s="4">
        <f t="shared" si="79"/>
        <v>11293459</v>
      </c>
      <c r="L204" s="4">
        <f t="shared" si="79"/>
        <v>11293459</v>
      </c>
      <c r="M204" s="4">
        <f t="shared" si="79"/>
        <v>10207690</v>
      </c>
    </row>
    <row r="205" spans="1:14" ht="135" x14ac:dyDescent="0.25">
      <c r="A205" s="29" t="s">
        <v>91</v>
      </c>
      <c r="B205" s="2">
        <v>857</v>
      </c>
      <c r="C205" s="3" t="s">
        <v>16</v>
      </c>
      <c r="D205" s="3" t="s">
        <v>10</v>
      </c>
      <c r="E205" s="3" t="s">
        <v>34</v>
      </c>
      <c r="F205" s="3"/>
      <c r="G205" s="4">
        <f t="shared" ref="G205:M205" si="80">G206+G207+G208</f>
        <v>9041374.1400000006</v>
      </c>
      <c r="H205" s="4">
        <f t="shared" si="80"/>
        <v>10680890</v>
      </c>
      <c r="I205" s="4">
        <f t="shared" si="80"/>
        <v>10207690</v>
      </c>
      <c r="J205" s="4">
        <f t="shared" si="80"/>
        <v>11293459</v>
      </c>
      <c r="K205" s="4">
        <f t="shared" si="80"/>
        <v>11293459</v>
      </c>
      <c r="L205" s="4">
        <f t="shared" si="80"/>
        <v>11293459</v>
      </c>
      <c r="M205" s="4">
        <f t="shared" si="80"/>
        <v>10207690</v>
      </c>
    </row>
    <row r="206" spans="1:14" ht="165" x14ac:dyDescent="0.25">
      <c r="A206" s="10" t="s">
        <v>69</v>
      </c>
      <c r="B206" s="2">
        <v>857</v>
      </c>
      <c r="C206" s="3" t="s">
        <v>16</v>
      </c>
      <c r="D206" s="3" t="s">
        <v>10</v>
      </c>
      <c r="E206" s="3" t="s">
        <v>34</v>
      </c>
      <c r="F206" s="3" t="s">
        <v>59</v>
      </c>
      <c r="G206" s="4">
        <f>7388374.14+313000</f>
        <v>7701374.1399999997</v>
      </c>
      <c r="H206" s="4">
        <f>8477690+273200</f>
        <v>8750890</v>
      </c>
      <c r="I206" s="4">
        <v>8477690</v>
      </c>
      <c r="J206" s="4">
        <v>9325459</v>
      </c>
      <c r="K206" s="4">
        <v>9325459</v>
      </c>
      <c r="L206" s="4">
        <v>9325459</v>
      </c>
      <c r="M206" s="4">
        <v>8477690</v>
      </c>
      <c r="N206" s="24"/>
    </row>
    <row r="207" spans="1:14" ht="60" x14ac:dyDescent="0.25">
      <c r="A207" s="10" t="s">
        <v>111</v>
      </c>
      <c r="B207" s="2">
        <v>857</v>
      </c>
      <c r="C207" s="3" t="s">
        <v>16</v>
      </c>
      <c r="D207" s="3" t="s">
        <v>10</v>
      </c>
      <c r="E207" s="3" t="s">
        <v>34</v>
      </c>
      <c r="F207" s="3" t="s">
        <v>60</v>
      </c>
      <c r="G207" s="4">
        <f>961000+376000</f>
        <v>1337000</v>
      </c>
      <c r="H207" s="4">
        <f>1725000+200000</f>
        <v>1925000</v>
      </c>
      <c r="I207" s="4">
        <v>1725000</v>
      </c>
      <c r="J207" s="4">
        <v>1965000</v>
      </c>
      <c r="K207" s="4">
        <v>1965000</v>
      </c>
      <c r="L207" s="4">
        <v>1965000</v>
      </c>
      <c r="M207" s="4">
        <v>1725000</v>
      </c>
    </row>
    <row r="208" spans="1:14" ht="30" x14ac:dyDescent="0.25">
      <c r="A208" s="10" t="s">
        <v>72</v>
      </c>
      <c r="B208" s="2">
        <v>857</v>
      </c>
      <c r="C208" s="3" t="s">
        <v>16</v>
      </c>
      <c r="D208" s="3" t="s">
        <v>10</v>
      </c>
      <c r="E208" s="3" t="s">
        <v>34</v>
      </c>
      <c r="F208" s="3" t="s">
        <v>61</v>
      </c>
      <c r="G208" s="4">
        <v>3000</v>
      </c>
      <c r="H208" s="4">
        <v>5000</v>
      </c>
      <c r="I208" s="4">
        <v>5000</v>
      </c>
      <c r="J208" s="4">
        <v>3000</v>
      </c>
      <c r="K208" s="4">
        <v>3000</v>
      </c>
      <c r="L208" s="4">
        <v>3000</v>
      </c>
      <c r="M208" s="4">
        <v>5000</v>
      </c>
    </row>
    <row r="209" spans="1:14" ht="105" x14ac:dyDescent="0.25">
      <c r="A209" s="10" t="s">
        <v>233</v>
      </c>
      <c r="B209" s="2">
        <v>857</v>
      </c>
      <c r="C209" s="3" t="s">
        <v>16</v>
      </c>
      <c r="D209" s="3" t="s">
        <v>10</v>
      </c>
      <c r="E209" s="3" t="s">
        <v>232</v>
      </c>
      <c r="F209" s="3" t="s">
        <v>59</v>
      </c>
      <c r="G209" s="4"/>
      <c r="H209" s="4">
        <v>91140</v>
      </c>
      <c r="I209" s="4">
        <v>0</v>
      </c>
      <c r="J209" s="4"/>
      <c r="K209" s="4"/>
      <c r="L209" s="4"/>
      <c r="M209" s="4">
        <v>0</v>
      </c>
    </row>
    <row r="210" spans="1:14" ht="29.25" x14ac:dyDescent="0.25">
      <c r="A210" s="25" t="s">
        <v>113</v>
      </c>
      <c r="B210" s="22">
        <v>857</v>
      </c>
      <c r="C210" s="23" t="s">
        <v>19</v>
      </c>
      <c r="D210" s="23" t="s">
        <v>14</v>
      </c>
      <c r="E210" s="23"/>
      <c r="F210" s="23"/>
      <c r="G210" s="5">
        <f t="shared" ref="G210:M210" si="81">G211</f>
        <v>7263576.8499999996</v>
      </c>
      <c r="H210" s="5">
        <f t="shared" si="81"/>
        <v>7196462.46</v>
      </c>
      <c r="I210" s="5">
        <f t="shared" si="81"/>
        <v>6670146</v>
      </c>
      <c r="J210" s="5">
        <f t="shared" si="81"/>
        <v>7133765.7000000002</v>
      </c>
      <c r="K210" s="5">
        <f t="shared" si="81"/>
        <v>7133765.7000000002</v>
      </c>
      <c r="L210" s="5">
        <f t="shared" si="81"/>
        <v>7133765.7000000002</v>
      </c>
      <c r="M210" s="5">
        <f t="shared" si="81"/>
        <v>6670146</v>
      </c>
    </row>
    <row r="211" spans="1:14" ht="90" x14ac:dyDescent="0.25">
      <c r="A211" s="10" t="s">
        <v>114</v>
      </c>
      <c r="B211" s="2">
        <v>857</v>
      </c>
      <c r="C211" s="3">
        <v>12</v>
      </c>
      <c r="D211" s="3" t="s">
        <v>14</v>
      </c>
      <c r="E211" s="3" t="s">
        <v>35</v>
      </c>
      <c r="F211" s="3"/>
      <c r="G211" s="4">
        <f t="shared" ref="G211:M211" si="82">G212+G213+G214</f>
        <v>7263576.8499999996</v>
      </c>
      <c r="H211" s="4">
        <f t="shared" si="82"/>
        <v>7196462.46</v>
      </c>
      <c r="I211" s="4">
        <f t="shared" si="82"/>
        <v>6670146</v>
      </c>
      <c r="J211" s="4">
        <f t="shared" si="82"/>
        <v>7133765.7000000002</v>
      </c>
      <c r="K211" s="4">
        <f t="shared" si="82"/>
        <v>7133765.7000000002</v>
      </c>
      <c r="L211" s="4">
        <f t="shared" si="82"/>
        <v>7133765.7000000002</v>
      </c>
      <c r="M211" s="4">
        <f t="shared" si="82"/>
        <v>6670146</v>
      </c>
    </row>
    <row r="212" spans="1:14" ht="165" x14ac:dyDescent="0.25">
      <c r="A212" s="10" t="s">
        <v>69</v>
      </c>
      <c r="B212" s="2">
        <v>857</v>
      </c>
      <c r="C212" s="3">
        <v>12</v>
      </c>
      <c r="D212" s="3" t="s">
        <v>14</v>
      </c>
      <c r="E212" s="3" t="s">
        <v>35</v>
      </c>
      <c r="F212" s="3" t="s">
        <v>59</v>
      </c>
      <c r="G212" s="4">
        <v>4898584</v>
      </c>
      <c r="H212" s="4">
        <f>5406379+224000</f>
        <v>5630379</v>
      </c>
      <c r="I212" s="4">
        <v>5406379</v>
      </c>
      <c r="J212" s="4">
        <v>5402998.7000000002</v>
      </c>
      <c r="K212" s="4">
        <v>5402998.7000000002</v>
      </c>
      <c r="L212" s="4">
        <v>5402998.7000000002</v>
      </c>
      <c r="M212" s="4">
        <v>5406379</v>
      </c>
      <c r="N212" s="24"/>
    </row>
    <row r="213" spans="1:14" ht="60" x14ac:dyDescent="0.25">
      <c r="A213" s="10" t="s">
        <v>111</v>
      </c>
      <c r="B213" s="2">
        <v>857</v>
      </c>
      <c r="C213" s="3" t="s">
        <v>19</v>
      </c>
      <c r="D213" s="3" t="s">
        <v>14</v>
      </c>
      <c r="E213" s="3" t="s">
        <v>35</v>
      </c>
      <c r="F213" s="3" t="s">
        <v>60</v>
      </c>
      <c r="G213" s="4">
        <v>2352242.85</v>
      </c>
      <c r="H213" s="4">
        <f>1243767+102316.46+200000</f>
        <v>1546083.46</v>
      </c>
      <c r="I213" s="4">
        <v>1255767</v>
      </c>
      <c r="J213" s="4">
        <v>1725767</v>
      </c>
      <c r="K213" s="4">
        <v>1725767</v>
      </c>
      <c r="L213" s="4">
        <v>1725767</v>
      </c>
      <c r="M213" s="4">
        <v>1255767</v>
      </c>
    </row>
    <row r="214" spans="1:14" ht="30" x14ac:dyDescent="0.25">
      <c r="A214" s="10" t="s">
        <v>72</v>
      </c>
      <c r="B214" s="2">
        <v>857</v>
      </c>
      <c r="C214" s="3">
        <v>12</v>
      </c>
      <c r="D214" s="3" t="s">
        <v>14</v>
      </c>
      <c r="E214" s="3" t="s">
        <v>35</v>
      </c>
      <c r="F214" s="3" t="s">
        <v>61</v>
      </c>
      <c r="G214" s="4">
        <v>12750</v>
      </c>
      <c r="H214" s="4">
        <v>20000</v>
      </c>
      <c r="I214" s="4">
        <v>8000</v>
      </c>
      <c r="J214" s="4">
        <v>5000</v>
      </c>
      <c r="K214" s="4">
        <v>5000</v>
      </c>
      <c r="L214" s="4">
        <v>5000</v>
      </c>
      <c r="M214" s="4">
        <v>8000</v>
      </c>
    </row>
    <row r="215" spans="1:14" ht="86.25" x14ac:dyDescent="0.25">
      <c r="A215" s="25" t="s">
        <v>167</v>
      </c>
      <c r="B215" s="22">
        <v>892</v>
      </c>
      <c r="C215" s="23"/>
      <c r="D215" s="23"/>
      <c r="E215" s="23"/>
      <c r="F215" s="23"/>
      <c r="G215" s="5" t="e">
        <f t="shared" ref="G215:M216" si="83">G216</f>
        <v>#REF!</v>
      </c>
      <c r="H215" s="5">
        <f t="shared" si="83"/>
        <v>87579051</v>
      </c>
      <c r="I215" s="5">
        <f t="shared" si="83"/>
        <v>76469352</v>
      </c>
      <c r="J215" s="5">
        <f t="shared" si="83"/>
        <v>75278066.5</v>
      </c>
      <c r="K215" s="5">
        <f t="shared" si="83"/>
        <v>75278066.5</v>
      </c>
      <c r="L215" s="5">
        <f t="shared" si="83"/>
        <v>75278066.5</v>
      </c>
      <c r="M215" s="5">
        <f t="shared" si="83"/>
        <v>76364552</v>
      </c>
    </row>
    <row r="216" spans="1:14" ht="29.25" x14ac:dyDescent="0.25">
      <c r="A216" s="25" t="s">
        <v>63</v>
      </c>
      <c r="B216" s="22">
        <v>892</v>
      </c>
      <c r="C216" s="23" t="s">
        <v>8</v>
      </c>
      <c r="D216" s="23"/>
      <c r="E216" s="23"/>
      <c r="F216" s="23"/>
      <c r="G216" s="5" t="e">
        <f t="shared" si="83"/>
        <v>#REF!</v>
      </c>
      <c r="H216" s="5">
        <f t="shared" si="83"/>
        <v>87579051</v>
      </c>
      <c r="I216" s="5">
        <f t="shared" si="83"/>
        <v>76469352</v>
      </c>
      <c r="J216" s="5">
        <f t="shared" si="83"/>
        <v>75278066.5</v>
      </c>
      <c r="K216" s="5">
        <f t="shared" si="83"/>
        <v>75278066.5</v>
      </c>
      <c r="L216" s="5">
        <f t="shared" si="83"/>
        <v>75278066.5</v>
      </c>
      <c r="M216" s="5">
        <f t="shared" si="83"/>
        <v>76364552</v>
      </c>
    </row>
    <row r="217" spans="1:14" ht="90" x14ac:dyDescent="0.25">
      <c r="A217" s="10" t="s">
        <v>66</v>
      </c>
      <c r="B217" s="2">
        <v>892</v>
      </c>
      <c r="C217" s="3" t="s">
        <v>8</v>
      </c>
      <c r="D217" s="3" t="s">
        <v>12</v>
      </c>
      <c r="E217" s="3"/>
      <c r="F217" s="3"/>
      <c r="G217" s="4" t="e">
        <f t="shared" ref="G217:M217" si="84">G218+G224</f>
        <v>#REF!</v>
      </c>
      <c r="H217" s="4">
        <f>H218+H224+H223</f>
        <v>87579051</v>
      </c>
      <c r="I217" s="4">
        <f t="shared" si="84"/>
        <v>76469352</v>
      </c>
      <c r="J217" s="4">
        <f t="shared" si="84"/>
        <v>75278066.5</v>
      </c>
      <c r="K217" s="4">
        <f t="shared" si="84"/>
        <v>75278066.5</v>
      </c>
      <c r="L217" s="4">
        <f t="shared" si="84"/>
        <v>75278066.5</v>
      </c>
      <c r="M217" s="4">
        <f t="shared" si="84"/>
        <v>76364552</v>
      </c>
    </row>
    <row r="218" spans="1:14" ht="135" x14ac:dyDescent="0.25">
      <c r="A218" s="10" t="s">
        <v>115</v>
      </c>
      <c r="B218" s="2">
        <v>892</v>
      </c>
      <c r="C218" s="3" t="s">
        <v>8</v>
      </c>
      <c r="D218" s="3" t="s">
        <v>12</v>
      </c>
      <c r="E218" s="3" t="s">
        <v>174</v>
      </c>
      <c r="F218" s="3"/>
      <c r="G218" s="4" t="e">
        <f>G219+G220+G221+#REF!</f>
        <v>#REF!</v>
      </c>
      <c r="H218" s="4">
        <f>H219+H220+H221+H222</f>
        <v>31698021</v>
      </c>
      <c r="I218" s="4">
        <f t="shared" ref="I218:M218" si="85">I219+I220+I221</f>
        <v>22209452</v>
      </c>
      <c r="J218" s="4">
        <f t="shared" si="85"/>
        <v>12865366.5</v>
      </c>
      <c r="K218" s="4">
        <f t="shared" si="85"/>
        <v>12865366.5</v>
      </c>
      <c r="L218" s="4">
        <f t="shared" si="85"/>
        <v>12865366.5</v>
      </c>
      <c r="M218" s="4">
        <f t="shared" si="85"/>
        <v>22209452</v>
      </c>
    </row>
    <row r="219" spans="1:14" ht="165" x14ac:dyDescent="0.25">
      <c r="A219" s="10" t="s">
        <v>69</v>
      </c>
      <c r="B219" s="2">
        <v>892</v>
      </c>
      <c r="C219" s="3" t="s">
        <v>8</v>
      </c>
      <c r="D219" s="3" t="s">
        <v>12</v>
      </c>
      <c r="E219" s="3" t="s">
        <v>174</v>
      </c>
      <c r="F219" s="3" t="s">
        <v>59</v>
      </c>
      <c r="G219" s="4">
        <f>7293805+270000</f>
        <v>7563805</v>
      </c>
      <c r="H219" s="4">
        <v>7769896</v>
      </c>
      <c r="I219" s="4">
        <v>7769896</v>
      </c>
      <c r="J219" s="4">
        <v>8941366.5</v>
      </c>
      <c r="K219" s="4">
        <v>8941366.5</v>
      </c>
      <c r="L219" s="4">
        <v>8941366.5</v>
      </c>
      <c r="M219" s="4">
        <v>7769896</v>
      </c>
      <c r="N219" s="30"/>
    </row>
    <row r="220" spans="1:14" ht="60" x14ac:dyDescent="0.25">
      <c r="A220" s="10" t="s">
        <v>111</v>
      </c>
      <c r="B220" s="2">
        <v>892</v>
      </c>
      <c r="C220" s="3" t="s">
        <v>8</v>
      </c>
      <c r="D220" s="3" t="s">
        <v>12</v>
      </c>
      <c r="E220" s="3" t="s">
        <v>174</v>
      </c>
      <c r="F220" s="3" t="s">
        <v>60</v>
      </c>
      <c r="G220" s="4">
        <v>2824717</v>
      </c>
      <c r="H220" s="4">
        <f>14407556-915713-200000</f>
        <v>13291843</v>
      </c>
      <c r="I220" s="4">
        <v>14407556</v>
      </c>
      <c r="J220" s="4">
        <v>3889000</v>
      </c>
      <c r="K220" s="4">
        <v>3889000</v>
      </c>
      <c r="L220" s="4">
        <v>3889000</v>
      </c>
      <c r="M220" s="4">
        <v>14407556</v>
      </c>
    </row>
    <row r="221" spans="1:14" ht="30" x14ac:dyDescent="0.25">
      <c r="A221" s="10" t="s">
        <v>72</v>
      </c>
      <c r="B221" s="2">
        <v>892</v>
      </c>
      <c r="C221" s="3" t="s">
        <v>8</v>
      </c>
      <c r="D221" s="3" t="s">
        <v>12</v>
      </c>
      <c r="E221" s="3" t="s">
        <v>174</v>
      </c>
      <c r="F221" s="3" t="s">
        <v>61</v>
      </c>
      <c r="G221" s="4">
        <v>30000</v>
      </c>
      <c r="H221" s="4">
        <v>32000</v>
      </c>
      <c r="I221" s="4">
        <v>32000</v>
      </c>
      <c r="J221" s="4">
        <v>35000</v>
      </c>
      <c r="K221" s="4">
        <v>35000</v>
      </c>
      <c r="L221" s="4">
        <v>35000</v>
      </c>
      <c r="M221" s="4">
        <v>32000</v>
      </c>
    </row>
    <row r="222" spans="1:14" ht="44.25" customHeight="1" x14ac:dyDescent="0.25">
      <c r="A222" s="10" t="s">
        <v>231</v>
      </c>
      <c r="B222" s="2">
        <v>892</v>
      </c>
      <c r="C222" s="3" t="s">
        <v>8</v>
      </c>
      <c r="D222" s="3" t="s">
        <v>18</v>
      </c>
      <c r="E222" s="3" t="s">
        <v>230</v>
      </c>
      <c r="F222" s="3" t="s">
        <v>61</v>
      </c>
      <c r="G222" s="4"/>
      <c r="H222" s="4">
        <v>10604282</v>
      </c>
      <c r="I222" s="4">
        <v>0</v>
      </c>
      <c r="J222" s="4"/>
      <c r="K222" s="4"/>
      <c r="L222" s="4"/>
      <c r="M222" s="4">
        <v>0</v>
      </c>
    </row>
    <row r="223" spans="1:14" ht="44.25" customHeight="1" x14ac:dyDescent="0.25">
      <c r="A223" s="10" t="s">
        <v>233</v>
      </c>
      <c r="B223" s="2">
        <v>892</v>
      </c>
      <c r="C223" s="3" t="s">
        <v>8</v>
      </c>
      <c r="D223" s="3" t="s">
        <v>12</v>
      </c>
      <c r="E223" s="3" t="s">
        <v>232</v>
      </c>
      <c r="F223" s="3" t="s">
        <v>59</v>
      </c>
      <c r="G223" s="4">
        <v>410130</v>
      </c>
      <c r="H223" s="4">
        <v>410130</v>
      </c>
      <c r="I223" s="4">
        <v>0</v>
      </c>
      <c r="J223" s="4"/>
      <c r="K223" s="4"/>
      <c r="L223" s="4"/>
      <c r="M223" s="4">
        <v>0</v>
      </c>
    </row>
    <row r="224" spans="1:14" ht="43.5" x14ac:dyDescent="0.25">
      <c r="A224" s="25" t="s">
        <v>168</v>
      </c>
      <c r="B224" s="22">
        <v>892</v>
      </c>
      <c r="C224" s="23" t="s">
        <v>117</v>
      </c>
      <c r="D224" s="23"/>
      <c r="E224" s="23"/>
      <c r="F224" s="23"/>
      <c r="G224" s="5">
        <f t="shared" ref="G224:M224" si="86">G225</f>
        <v>54202400</v>
      </c>
      <c r="H224" s="5">
        <f t="shared" si="86"/>
        <v>55470900</v>
      </c>
      <c r="I224" s="5">
        <f t="shared" si="86"/>
        <v>54259900</v>
      </c>
      <c r="J224" s="5">
        <f t="shared" si="86"/>
        <v>62412700</v>
      </c>
      <c r="K224" s="5">
        <f t="shared" si="86"/>
        <v>62412700</v>
      </c>
      <c r="L224" s="5">
        <f t="shared" si="86"/>
        <v>62412700</v>
      </c>
      <c r="M224" s="5">
        <f t="shared" si="86"/>
        <v>54155100</v>
      </c>
    </row>
    <row r="225" spans="1:13" ht="45" x14ac:dyDescent="0.25">
      <c r="A225" s="10" t="s">
        <v>166</v>
      </c>
      <c r="B225" s="22">
        <v>892</v>
      </c>
      <c r="C225" s="23" t="s">
        <v>117</v>
      </c>
      <c r="D225" s="23" t="s">
        <v>8</v>
      </c>
      <c r="E225" s="3" t="s">
        <v>172</v>
      </c>
      <c r="F225" s="3" t="s">
        <v>171</v>
      </c>
      <c r="G225" s="4">
        <v>54202400</v>
      </c>
      <c r="H225" s="4">
        <f>51600000+3870900</f>
        <v>55470900</v>
      </c>
      <c r="I225" s="4">
        <f>51600000+2659900</f>
        <v>54259900</v>
      </c>
      <c r="J225" s="4">
        <f>58768000+3644700</f>
        <v>62412700</v>
      </c>
      <c r="K225" s="4">
        <f>58768000+3644700</f>
        <v>62412700</v>
      </c>
      <c r="L225" s="4">
        <f>58768000+3644700</f>
        <v>62412700</v>
      </c>
      <c r="M225" s="4">
        <f>51600000+2555100</f>
        <v>54155100</v>
      </c>
    </row>
  </sheetData>
  <sortState ref="A1:N220">
    <sortCondition ref="N13"/>
  </sortState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>
      <selection activeCell="L14" sqref="L14:L15"/>
    </sheetView>
  </sheetViews>
  <sheetFormatPr defaultRowHeight="15" x14ac:dyDescent="0.25"/>
  <cols>
    <col min="2" max="2" width="9.140625" customWidth="1"/>
  </cols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2023-08-09T07:50:07Z</dcterms:modified>
</cp:coreProperties>
</file>