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defaultThemeVersion="124226"/>
  <bookViews>
    <workbookView xWindow="8490" yWindow="1020" windowWidth="12750" windowHeight="11850"/>
  </bookViews>
  <sheets>
    <sheet name="Лист2" sheetId="2" r:id="rId1"/>
    <sheet name="Лист1" sheetId="4" r:id="rId2"/>
  </sheets>
  <definedNames>
    <definedName name="_xlnm._FilterDatabase" localSheetId="0" hidden="1">Лист2!$A$6:$O$240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8" i="2" l="1"/>
  <c r="H74" i="2"/>
  <c r="H71" i="2"/>
  <c r="H150" i="2"/>
  <c r="H212" i="2"/>
  <c r="H183" i="2"/>
  <c r="H190" i="2"/>
  <c r="H189" i="2"/>
  <c r="H187" i="2"/>
  <c r="H170" i="2"/>
  <c r="H169" i="2"/>
  <c r="H172" i="2"/>
  <c r="H171" i="2"/>
  <c r="H119" i="2" l="1"/>
  <c r="H104" i="2"/>
  <c r="H202" i="2" l="1"/>
  <c r="H141" i="2" l="1"/>
  <c r="H56" i="2"/>
  <c r="H214" i="2" l="1"/>
  <c r="H208" i="2" l="1"/>
  <c r="H193" i="2"/>
  <c r="H125" i="2"/>
  <c r="H117" i="2" l="1"/>
  <c r="H240" i="2"/>
  <c r="H48" i="2"/>
  <c r="H83" i="2"/>
  <c r="H82" i="2"/>
  <c r="H33" i="2"/>
  <c r="I183" i="2" l="1"/>
  <c r="J183" i="2"/>
  <c r="I187" i="2"/>
  <c r="I39" i="2" l="1"/>
  <c r="J39" i="2"/>
  <c r="I238" i="2"/>
  <c r="I18" i="2" l="1"/>
  <c r="H49" i="2"/>
  <c r="H105" i="2" l="1"/>
  <c r="H120" i="2"/>
  <c r="H86" i="2" l="1"/>
  <c r="H29" i="2"/>
  <c r="H174" i="2"/>
  <c r="H168" i="2" s="1"/>
  <c r="H164" i="2" s="1"/>
  <c r="H60" i="2"/>
  <c r="H140" i="2"/>
  <c r="I68" i="2" l="1"/>
  <c r="J68" i="2"/>
  <c r="I70" i="2"/>
  <c r="I69" i="2" s="1"/>
  <c r="J70" i="2"/>
  <c r="J69" i="2" s="1"/>
  <c r="I184" i="2" l="1"/>
  <c r="H184" i="2"/>
  <c r="I189" i="2"/>
  <c r="H177" i="2" l="1"/>
  <c r="I28" i="2" l="1"/>
  <c r="J28" i="2"/>
  <c r="H28" i="2"/>
  <c r="H18" i="2"/>
  <c r="H236" i="2"/>
  <c r="H17" i="2" l="1"/>
  <c r="H70" i="2" l="1"/>
  <c r="H68" i="2"/>
  <c r="H227" i="2"/>
  <c r="I77" i="2" l="1"/>
  <c r="J77" i="2"/>
  <c r="I130" i="2"/>
  <c r="I127" i="2" s="1"/>
  <c r="J130" i="2"/>
  <c r="J127" i="2" s="1"/>
  <c r="H130" i="2"/>
  <c r="H127" i="2" s="1"/>
  <c r="I109" i="2" l="1"/>
  <c r="J109" i="2"/>
  <c r="H109" i="2"/>
  <c r="I94" i="2"/>
  <c r="J94" i="2"/>
  <c r="H94" i="2"/>
  <c r="I208" i="2" l="1"/>
  <c r="J208" i="2"/>
  <c r="H77" i="2"/>
  <c r="I33" i="2"/>
  <c r="H52" i="2"/>
  <c r="I227" i="2" l="1"/>
  <c r="J227" i="2"/>
  <c r="H206" i="2" l="1"/>
  <c r="H239" i="2" l="1"/>
  <c r="H66" i="2" l="1"/>
  <c r="J18" i="2" l="1"/>
  <c r="I205" i="2"/>
  <c r="J205" i="2"/>
  <c r="I56" i="2"/>
  <c r="J56" i="2"/>
  <c r="I165" i="2"/>
  <c r="J165" i="2"/>
  <c r="H165" i="2"/>
  <c r="H205" i="2"/>
  <c r="I138" i="2"/>
  <c r="J138" i="2"/>
  <c r="H138" i="2"/>
  <c r="I30" i="2"/>
  <c r="J30" i="2"/>
  <c r="H30" i="2"/>
  <c r="I47" i="2" l="1"/>
  <c r="I45" i="2" s="1"/>
  <c r="J47" i="2"/>
  <c r="J45" i="2" s="1"/>
  <c r="H47" i="2"/>
  <c r="H45" i="2" l="1"/>
  <c r="I52" i="2" l="1"/>
  <c r="I51" i="2" s="1"/>
  <c r="J52" i="2"/>
  <c r="J51" i="2" s="1"/>
  <c r="H69" i="2" l="1"/>
  <c r="J240" i="2" l="1"/>
  <c r="I240" i="2"/>
  <c r="I233" i="2" l="1"/>
  <c r="I232" i="2" s="1"/>
  <c r="J233" i="2"/>
  <c r="J232" i="2" s="1"/>
  <c r="H233" i="2"/>
  <c r="H232" i="2" s="1"/>
  <c r="I239" i="2"/>
  <c r="J239" i="2"/>
  <c r="I225" i="2"/>
  <c r="I224" i="2" s="1"/>
  <c r="J225" i="2"/>
  <c r="J224" i="2" s="1"/>
  <c r="H225" i="2"/>
  <c r="H224" i="2" s="1"/>
  <c r="I219" i="2"/>
  <c r="J219" i="2"/>
  <c r="H219" i="2"/>
  <c r="H218" i="2" s="1"/>
  <c r="I200" i="2"/>
  <c r="I199" i="2" s="1"/>
  <c r="J200" i="2"/>
  <c r="J199" i="2" s="1"/>
  <c r="H200" i="2"/>
  <c r="H199" i="2" s="1"/>
  <c r="I174" i="2"/>
  <c r="I168" i="2" s="1"/>
  <c r="I164" i="2" s="1"/>
  <c r="J174" i="2"/>
  <c r="J168" i="2" s="1"/>
  <c r="J164" i="2" s="1"/>
  <c r="I146" i="2"/>
  <c r="J146" i="2"/>
  <c r="H146" i="2"/>
  <c r="I117" i="2"/>
  <c r="I108" i="2" s="1"/>
  <c r="J117" i="2"/>
  <c r="J108" i="2" s="1"/>
  <c r="H108" i="2"/>
  <c r="I102" i="2"/>
  <c r="I93" i="2" s="1"/>
  <c r="J102" i="2"/>
  <c r="J93" i="2" s="1"/>
  <c r="H102" i="2"/>
  <c r="H93" i="2" s="1"/>
  <c r="I14" i="2"/>
  <c r="J14" i="2"/>
  <c r="H14" i="2"/>
  <c r="H51" i="2"/>
  <c r="I63" i="2"/>
  <c r="J63" i="2"/>
  <c r="H63" i="2"/>
  <c r="I43" i="2"/>
  <c r="J43" i="2"/>
  <c r="H43" i="2"/>
  <c r="I40" i="2"/>
  <c r="J40" i="2"/>
  <c r="H40" i="2"/>
  <c r="H39" i="2" s="1"/>
  <c r="J35" i="2"/>
  <c r="I26" i="2"/>
  <c r="I23" i="2" s="1"/>
  <c r="J26" i="2"/>
  <c r="J23" i="2" s="1"/>
  <c r="H26" i="2"/>
  <c r="I12" i="2"/>
  <c r="J12" i="2"/>
  <c r="H12" i="2"/>
  <c r="H198" i="2" l="1"/>
  <c r="J231" i="2"/>
  <c r="I231" i="2"/>
  <c r="H231" i="2"/>
  <c r="H230" i="2" s="1"/>
  <c r="H156" i="2"/>
  <c r="H155" i="2" s="1"/>
  <c r="H142" i="2"/>
  <c r="H136" i="2"/>
  <c r="I158" i="2"/>
  <c r="J158" i="2"/>
  <c r="H92" i="2" l="1"/>
  <c r="H91" i="2" s="1"/>
  <c r="I82" i="2" l="1"/>
  <c r="J82" i="2"/>
  <c r="I11" i="2" l="1"/>
  <c r="I10" i="2" s="1"/>
  <c r="G46" i="2" l="1"/>
  <c r="G119" i="2" l="1"/>
  <c r="G117" i="2" s="1"/>
  <c r="J142" i="2" l="1"/>
  <c r="J141" i="2" s="1"/>
  <c r="J136" i="2" l="1"/>
  <c r="J92" i="2" s="1"/>
  <c r="J66" i="2" l="1"/>
  <c r="J65" i="2" s="1"/>
  <c r="J62" i="2" s="1"/>
  <c r="J218" i="2" l="1"/>
  <c r="J198" i="2" s="1"/>
  <c r="J76" i="2" l="1"/>
  <c r="J75" i="2" s="1"/>
  <c r="J11" i="2"/>
  <c r="J10" i="2" s="1"/>
  <c r="J38" i="2"/>
  <c r="J230" i="2"/>
  <c r="J9" i="2" l="1"/>
  <c r="J156" i="2"/>
  <c r="J162" i="2"/>
  <c r="J160" i="2"/>
  <c r="J155" i="2" l="1"/>
  <c r="J91" i="2" s="1"/>
  <c r="I66" i="2"/>
  <c r="J7" i="2" l="1"/>
  <c r="G234" i="2"/>
  <c r="G220" i="2"/>
  <c r="G175" i="2"/>
  <c r="G174" i="2" s="1"/>
  <c r="G169" i="2"/>
  <c r="G150" i="2"/>
  <c r="G79" i="2"/>
  <c r="G78" i="2"/>
  <c r="G71" i="2"/>
  <c r="G27" i="2"/>
  <c r="G26" i="2" s="1"/>
  <c r="G64" i="2"/>
  <c r="G54" i="2"/>
  <c r="G44" i="2"/>
  <c r="G41" i="2"/>
  <c r="G15" i="2"/>
  <c r="G13" i="2"/>
  <c r="G233" i="2" l="1"/>
  <c r="G159" i="2"/>
  <c r="G157" i="2"/>
  <c r="G124" i="2"/>
  <c r="G14" i="2"/>
  <c r="G66" i="2"/>
  <c r="G45" i="2" l="1"/>
  <c r="G104" i="2"/>
  <c r="G170" i="2"/>
  <c r="G173" i="2"/>
  <c r="G171" i="2" l="1"/>
  <c r="G29" i="2"/>
  <c r="G28" i="2" s="1"/>
  <c r="G239" i="2" l="1"/>
  <c r="H11" i="2" l="1"/>
  <c r="I218" i="2" l="1"/>
  <c r="I198" i="2" s="1"/>
  <c r="G136" i="2" l="1"/>
  <c r="G206" i="2" l="1"/>
  <c r="G203" i="2"/>
  <c r="G202" i="2"/>
  <c r="G134" i="2"/>
  <c r="G132" i="2"/>
  <c r="G168" i="2" l="1"/>
  <c r="G24" i="2" l="1"/>
  <c r="I160" i="2" l="1"/>
  <c r="I142" i="2"/>
  <c r="I141" i="2" s="1"/>
  <c r="I136" i="2"/>
  <c r="H76" i="2"/>
  <c r="I92" i="2" l="1"/>
  <c r="H75" i="2"/>
  <c r="H38" i="2"/>
  <c r="I76" i="2"/>
  <c r="I75" i="2" s="1"/>
  <c r="I38" i="2" l="1"/>
  <c r="I230" i="2"/>
  <c r="G102" i="2"/>
  <c r="H65" i="2" l="1"/>
  <c r="I65" i="2"/>
  <c r="I62" i="2" s="1"/>
  <c r="I9" i="2" s="1"/>
  <c r="H62" i="2" l="1"/>
  <c r="I162" i="2"/>
  <c r="I156" i="2"/>
  <c r="I155" i="2" l="1"/>
  <c r="I91" i="2" s="1"/>
  <c r="I7" i="2" s="1"/>
  <c r="G225" i="2" l="1"/>
  <c r="G224" i="2" s="1"/>
  <c r="G219" i="2"/>
  <c r="G218" i="2" s="1"/>
  <c r="G208" i="2"/>
  <c r="G205" i="2"/>
  <c r="G200" i="2" l="1"/>
  <c r="G199" i="2" s="1"/>
  <c r="G164" i="2" l="1"/>
  <c r="G156" i="2"/>
  <c r="G139" i="2"/>
  <c r="G138" i="2" s="1"/>
  <c r="G130" i="2"/>
  <c r="G128" i="2"/>
  <c r="G109" i="2"/>
  <c r="G94" i="2"/>
  <c r="G93" i="2" s="1"/>
  <c r="G77" i="2"/>
  <c r="G76" i="2" s="1"/>
  <c r="G70" i="2"/>
  <c r="G69" i="2" s="1"/>
  <c r="G65" i="2"/>
  <c r="G63" i="2"/>
  <c r="G52" i="2"/>
  <c r="G51" i="2" s="1"/>
  <c r="G40" i="2"/>
  <c r="G43" i="2"/>
  <c r="G32" i="2"/>
  <c r="G12" i="2"/>
  <c r="G11" i="2" s="1"/>
  <c r="G23" i="2" l="1"/>
  <c r="G62" i="2"/>
  <c r="G108" i="2"/>
  <c r="G127" i="2"/>
  <c r="G39" i="2"/>
  <c r="G38" i="2" s="1"/>
  <c r="G158" i="2" l="1"/>
  <c r="G75" i="2" l="1"/>
  <c r="G232" i="2" l="1"/>
  <c r="G231" i="2" l="1"/>
  <c r="G230" i="2" s="1"/>
  <c r="G162" i="2"/>
  <c r="G160" i="2"/>
  <c r="G155" i="2" l="1"/>
  <c r="G92" i="2" l="1"/>
  <c r="G91" i="2" s="1"/>
  <c r="G198" i="2" l="1"/>
  <c r="G68" i="2"/>
  <c r="G10" i="2" l="1"/>
  <c r="G9" i="2" s="1"/>
  <c r="G7" i="2" l="1"/>
  <c r="H23" i="2"/>
  <c r="H10" i="2" s="1"/>
  <c r="H9" i="2" s="1"/>
  <c r="H7" i="2" s="1"/>
</calcChain>
</file>

<file path=xl/sharedStrings.xml><?xml version="1.0" encoding="utf-8"?>
<sst xmlns="http://schemas.openxmlformats.org/spreadsheetml/2006/main" count="1014" uniqueCount="265">
  <si>
    <t>Наименование</t>
  </si>
  <si>
    <t>Мин</t>
  </si>
  <si>
    <t>Рз</t>
  </si>
  <si>
    <t>ПР</t>
  </si>
  <si>
    <t>ЦСР</t>
  </si>
  <si>
    <t>ВР</t>
  </si>
  <si>
    <t>Всего</t>
  </si>
  <si>
    <t>Муниципальное учреждение «Отдел культуры местной администрации Чегемского муниципального района»</t>
  </si>
  <si>
    <t>01</t>
  </si>
  <si>
    <t>03</t>
  </si>
  <si>
    <t>04</t>
  </si>
  <si>
    <t>05</t>
  </si>
  <si>
    <t>06</t>
  </si>
  <si>
    <t>07</t>
  </si>
  <si>
    <t>02</t>
  </si>
  <si>
    <t>09</t>
  </si>
  <si>
    <t>08</t>
  </si>
  <si>
    <t>руб.</t>
  </si>
  <si>
    <t>13</t>
  </si>
  <si>
    <t>12</t>
  </si>
  <si>
    <t>Взнос в Ассоциацию "Совет Муниципальных образований КБР"</t>
  </si>
  <si>
    <t>Выплаты доплат к пенсиям лицам замещавшим должность муниципальной службы</t>
  </si>
  <si>
    <t>7820090019</t>
  </si>
  <si>
    <t>0220275190</t>
  </si>
  <si>
    <t>0220290059</t>
  </si>
  <si>
    <t>0240190059</t>
  </si>
  <si>
    <t>9990070090</t>
  </si>
  <si>
    <t>99900F2600</t>
  </si>
  <si>
    <t>9990070100</t>
  </si>
  <si>
    <t>1110290059</t>
  </si>
  <si>
    <t>2320290059</t>
  </si>
  <si>
    <t>9990059300</t>
  </si>
  <si>
    <t>15Г0099998</t>
  </si>
  <si>
    <t>7710092794</t>
  </si>
  <si>
    <t>0530190019</t>
  </si>
  <si>
    <t>71000Н0600</t>
  </si>
  <si>
    <t>9990070110</t>
  </si>
  <si>
    <t>Осуществление переданных органам местного самоуправления в соответствии со статёй 3 Закона КБР от 29.10.2003 года № 90-РЗ "Об органах записи актов гражданского состояния в КБР" полномочий Российской Федерации на государственную регистрацию актов гражданского состояния</t>
  </si>
  <si>
    <t>Расходы на обеспечение деятельности (оказание услуг) муниципальных учреждений</t>
  </si>
  <si>
    <t>Пополнение фондов школьных библиотек образовательных учреждений</t>
  </si>
  <si>
    <t>Субвенции на выплату единовременного пособия при всех формах устройства детей, лишенных родительского попечения, в семью</t>
  </si>
  <si>
    <t>02403Н0380</t>
  </si>
  <si>
    <t>МКУ "КСП" - Чегемского муниципального района</t>
  </si>
  <si>
    <t>Местная администрация Чегемского муниципального района</t>
  </si>
  <si>
    <t>cубвенции на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             на 2017 год</t>
  </si>
  <si>
    <t>9990071210</t>
  </si>
  <si>
    <t>71000Н0730</t>
  </si>
  <si>
    <t>Единовременная выплата при присвоении звания "Почетный гражданин Чегемского района"</t>
  </si>
  <si>
    <t>100</t>
  </si>
  <si>
    <t>200</t>
  </si>
  <si>
    <t>800</t>
  </si>
  <si>
    <t>300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</si>
  <si>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</si>
  <si>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</si>
  <si>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</si>
  <si>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бщегосударственные вопросы</t>
  </si>
  <si>
    <t>10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</si>
  <si>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</si>
  <si>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закупка товаров , работ и услуг для государственных ( муниципальных ) нужд</t>
  </si>
  <si>
    <t>Иные бюджетные ассигнования</t>
  </si>
  <si>
    <t>Осуществление выплат Почетным гражданам муниципальных образований</t>
  </si>
  <si>
    <t>НАЦИОНАЛЬНАЯ БЕЗОПАСНОСТЬ И ПРАВООХРАНИТЕЛЬНАЯ ДЕЯТЕЛЬНОСТЬ</t>
  </si>
  <si>
    <t>Расходы на обеспечение функций государственных органов, в том числе территориальных органов в рамках федеральной целевой программы" Создание системы обеспечения вызова экстренныхоперативных служб по единому номеру "112" в Российской Федерации на 2013-2017 годы"</t>
  </si>
  <si>
    <t>НАЦИОНАЛЬНАЯ ЭКОНОМИКА</t>
  </si>
  <si>
    <t>ОБРАЗОВАНИЕ</t>
  </si>
  <si>
    <t>Дополнительное образование детей</t>
  </si>
  <si>
    <t>Расходы на обеспечение деятельности (оказание услуг) муниципальных учреждений в рамках подпрограммы "Развитие дополнительного образования детей и реализация мероприятий молодежной политики"</t>
  </si>
  <si>
    <t>Закупка товаров , работ и услуг для государственных ( муниципальных ) нужд</t>
  </si>
  <si>
    <t>КУЛЬТУРА КИНЕМАТОГРАФИЯ</t>
  </si>
  <si>
    <t>Другие вопросы в облости культуры и кинематографии</t>
  </si>
  <si>
    <t>Расходы на обеспечение функций государственных органов, в том числе территориальных органов, в рамках подпрограммы " Обеспечение условий реализации муниципальной программы " Развитие культуры и туризма"</t>
  </si>
  <si>
    <t>СОЦИАЛЬНАЯ ПОЛИТИКА</t>
  </si>
  <si>
    <t>Другие вопросы в облости социальной политики</t>
  </si>
  <si>
    <t>Расходы на обеспечение функций государственных органов, в том числе территориальных органов, в рамках иных непрограммных мероприятий реализации функций иных органов местного самоуправления</t>
  </si>
  <si>
    <t>Социальное обеспечение  и иные выплаты населению</t>
  </si>
  <si>
    <t>Муниципальное казенное  учреждение «Управление образования местной администрации Чегемского муниципального района»</t>
  </si>
  <si>
    <t>Дошкольное образование</t>
  </si>
  <si>
    <t>Расходы на обеспечение деятельности (оказание услуг) муниципальных учреждений в рамках подпрограммы "Содействие  развитию дошкольного и общего образования"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</si>
  <si>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игрушек)в рамах подпрограммы " Содействие развитию дошкольного  и общего образования".</t>
  </si>
  <si>
    <t>Общее образование</t>
  </si>
  <si>
    <t>Расходы на обеспечение деятельности (оказание услуг) муниципальных учреждений в рамках подпрограммы "Содействие  развитию дошкольного и общего образования,"развитие кадрового потенциала системы дошкольного и общего образования".</t>
  </si>
  <si>
    <t>Премии главы муниципального образования для поддержки талантливой молодежи в рамках подпрограммы " развитие дополнительного образования детей и реализация мероприятий молодежной политики", основное мероприятие " Выявление и поддержка одаренных детей и молодежи"</t>
  </si>
  <si>
    <t>Другие вопросы в облости образования</t>
  </si>
  <si>
    <t>Субвенции на выплату единовременного пособия при всех формах устройства детей, лишенных родительского попечения, в семью  в рамках иных мероприятий реализации функций иных органов местного самоупараления</t>
  </si>
  <si>
    <t>Содержание отделов опеки и попечительства в рамках иных непрограмных мероприятий реализации функции иных органовмнстного самоуправления</t>
  </si>
  <si>
    <t>Содержание ребенка в семье опекуна и приемной семье, а также вознаграждение, причитающееся приемному родителю в рамках иных непрограммных мероприятий реализации функций иных органов местного самоуправления</t>
  </si>
  <si>
    <t>Молодежная политика и оздоровление детей</t>
  </si>
  <si>
    <t>Расходы на обеспечение деятельности (оказание услуг) муниципальных учреждений в рамках подпрограммы " Развитие дополнительного образования детей и реализация мероприятий молодежной политики"</t>
  </si>
  <si>
    <t>Закупка товаров , работ и услуг для государственных (муниципальных ) нужд</t>
  </si>
  <si>
    <t>Закупка товаров , работ и услуг для государственных  (муниципальных ) нужд</t>
  </si>
  <si>
    <t>Средства массовой информации</t>
  </si>
  <si>
    <t>Расходы на обеспечение деятельности (оказание услуг) муниципальных учреждений в рамках подпрограммы" информационная среда "</t>
  </si>
  <si>
    <t>Расходы на обеспечение функций государственных органов, в том числе территориальных органов, в рамках подпрограммы " Нормативно- методическое обеспечение и организации бюджетного процесса"</t>
  </si>
  <si>
    <t>11</t>
  </si>
  <si>
    <t>14</t>
  </si>
  <si>
    <t>Содержание комиссий по делам несовершеннолетних и защите их прав</t>
  </si>
  <si>
    <t>1310390059</t>
  </si>
  <si>
    <t>В том числе объем условно утвержденных расходов</t>
  </si>
  <si>
    <t>Выплаты вознаграждений спортсменам</t>
  </si>
  <si>
    <t>0240180070</t>
  </si>
  <si>
    <t>4620192100</t>
  </si>
  <si>
    <t>Мероприятия, связанные с организацией отдыха детей в учреждениях с дневным пребыванием детей в каникулярное время</t>
  </si>
  <si>
    <t>Расходы на обеспечение деятельности (оказание услуг) муниципальных учреждений, подпрограммы " Развитие физической культуры и массового спорта", основное мероприятие " Совершенствование  спортивной инфраструктуры и материально - технической базы для занятия физической культуры и массовым спортом"</t>
  </si>
  <si>
    <t>1540199998</t>
  </si>
  <si>
    <t>Расходы на обеспечение функций государственных органов, в том числе территориальных органов</t>
  </si>
  <si>
    <t>Совет местного самоупраления</t>
  </si>
  <si>
    <t>Совет местного самоупраления Чегемского муниципального района</t>
  </si>
  <si>
    <t>Муниципальное учреждение "Комитет по физической культуре, спорту и туризму Местной администрации Чегемского муниципального района"</t>
  </si>
  <si>
    <t>9990070190</t>
  </si>
  <si>
    <t>Субвенции бюджетам муниципальных образований на выплату ежемесячного вознаграждения приемным родителям</t>
  </si>
  <si>
    <t>Жилищно-коммунальное хозяйство</t>
  </si>
  <si>
    <t>4610162160</t>
  </si>
  <si>
    <t>600</t>
  </si>
  <si>
    <t>Субвенции бюджетам муниципальных образований на отлов животных без владльцев</t>
  </si>
  <si>
    <t xml:space="preserve"> МП «Поддержка социально ориентированных некоммерческих организаций Чегемского муниципального района »</t>
  </si>
  <si>
    <t>9090051200</t>
  </si>
  <si>
    <t>9990071220</t>
  </si>
  <si>
    <t>Субвенции бюджетам муниципальных районов на осуществление полномочий по составлению списков кандидатов в присяжные заседатели</t>
  </si>
  <si>
    <t>0220270880</t>
  </si>
  <si>
    <t>25Ф0190019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</si>
  <si>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</si>
  <si>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</si>
  <si>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02401 М9400</t>
  </si>
  <si>
    <t>Профилактика безнадзорности и правонарушений несовершеннолетних</t>
  </si>
  <si>
    <t>Мероприятия по профилактике незаконного потребления наркотических средств и психотропных веществ, наркомании</t>
  </si>
  <si>
    <t xml:space="preserve">Резервный фонд Местной администрации </t>
  </si>
  <si>
    <t>Дотации на выравнивание бюджетной обеспеченности</t>
  </si>
  <si>
    <t>Муниципальное учреждение «Управление финансами Чегемского муниципального района»</t>
  </si>
  <si>
    <t>Финансовая помощь муниципальным образованиям</t>
  </si>
  <si>
    <t>МП" Противодействие коррупции в Чегемском муниципальном районе"</t>
  </si>
  <si>
    <t>500</t>
  </si>
  <si>
    <t>39Б0170010</t>
  </si>
  <si>
    <t>0220275180</t>
  </si>
  <si>
    <t>3920390019</t>
  </si>
  <si>
    <t>Реализация мероприятий по модернизации школьных систем образования</t>
  </si>
  <si>
    <t>Реализация мероприятий программы</t>
  </si>
  <si>
    <t>0527570550</t>
  </si>
  <si>
    <t>0220270130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</si>
  <si>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</t>
  </si>
  <si>
    <t>022027000</t>
  </si>
  <si>
    <t>Субвенции бюджетам муниципальных образований на оплату труда педагогических работников образовательных организаций</t>
  </si>
  <si>
    <t>0220270000</t>
  </si>
  <si>
    <t>0240177210</t>
  </si>
  <si>
    <t>ИМУЩЕСТВО</t>
  </si>
  <si>
    <t>13201Н0440</t>
  </si>
  <si>
    <t>9990099999</t>
  </si>
  <si>
    <t>Финансовое обеспечение иных расходов органов местного самоуправления и муниципальных казенных учреждений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</si>
  <si>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</si>
  <si>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0240270130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</si>
  <si>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</si>
  <si>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Закупка товаров, работ и услуг для  муниципальных  нужд</t>
  </si>
  <si>
    <t>3920220540</t>
  </si>
  <si>
    <t>МКУ "Управление архитектуры и  капитального строительства</t>
  </si>
  <si>
    <t>7810090011</t>
  </si>
  <si>
    <t>7820090011</t>
  </si>
  <si>
    <t>7820090020</t>
  </si>
  <si>
    <t>Расходы на обеспечение деятельности органов местного самоуправления</t>
  </si>
  <si>
    <t>782009071</t>
  </si>
  <si>
    <t>9990090011</t>
  </si>
  <si>
    <t>1010390011</t>
  </si>
  <si>
    <t>1011290020</t>
  </si>
  <si>
    <t>0530190011</t>
  </si>
  <si>
    <t>0530190020</t>
  </si>
  <si>
    <t>1140190011</t>
  </si>
  <si>
    <t>9390090011</t>
  </si>
  <si>
    <t>9390090020</t>
  </si>
  <si>
    <t>9620090011</t>
  </si>
  <si>
    <t>9690090011</t>
  </si>
  <si>
    <t>9690090020</t>
  </si>
  <si>
    <t>25Ф0190011</t>
  </si>
  <si>
    <t>25Ф0190020</t>
  </si>
  <si>
    <t>3841290072</t>
  </si>
  <si>
    <t>0220277110</t>
  </si>
  <si>
    <t>0220277120</t>
  </si>
  <si>
    <t>0220277210</t>
  </si>
  <si>
    <t>0220277220</t>
  </si>
  <si>
    <t>0220277300</t>
  </si>
  <si>
    <t>0220290071</t>
  </si>
  <si>
    <t>02202077400</t>
  </si>
  <si>
    <t>02401L3030</t>
  </si>
  <si>
    <t>02401L3040</t>
  </si>
  <si>
    <t>0240192151</t>
  </si>
  <si>
    <t>0250790011</t>
  </si>
  <si>
    <t>0250790020</t>
  </si>
  <si>
    <t>0240190071</t>
  </si>
  <si>
    <t>1310390071</t>
  </si>
  <si>
    <t>1340290011</t>
  </si>
  <si>
    <t>1340290020</t>
  </si>
  <si>
    <t>0530190071</t>
  </si>
  <si>
    <t>1140190020</t>
  </si>
  <si>
    <t>2320290071</t>
  </si>
  <si>
    <t>3920390011</t>
  </si>
  <si>
    <t>3920390020</t>
  </si>
  <si>
    <t>Расходы на выплаты по оплате труда муниципальных служащих (лиц, замещающих муниципальные должности)</t>
  </si>
  <si>
    <t>7810000000</t>
  </si>
  <si>
    <t>Финансовое обеспечение выполнения функций органов местного самоуправления, оказания услуг и выполнения работ</t>
  </si>
  <si>
    <t>Аппарат местной администрации</t>
  </si>
  <si>
    <t>7820000000</t>
  </si>
  <si>
    <t>Жилищно-коммунальные (коммунальные) услуги, взносы на капитальный ремонт общего имущества в многоквартирном доме</t>
  </si>
  <si>
    <t>9390090000</t>
  </si>
  <si>
    <t>1010000000</t>
  </si>
  <si>
    <t>Подпрограмма "Предупреждение, спасение, помощь"</t>
  </si>
  <si>
    <t>0530000000</t>
  </si>
  <si>
    <t>Подпрограмма "Обеспечение реализации муниципальной программы "Обеспечение доступным и комфортным жильем и коммунальными услугами"</t>
  </si>
  <si>
    <t>Жилищно-коммунальные (коммунальные) услуги, взносы на капитальный ремонт общего имущества в многоквартирном доме по объектам, находящимся в муницпальной казне</t>
  </si>
  <si>
    <t>Субвенции бюджетам муниципальных образований на оплату труда основного административно-управленческого персонала образовательных организаций</t>
  </si>
  <si>
    <t>Субвенции бюджетам муниципальных образований на оплату труда административно-управленческого персонала (за исключением основного административно-управленческого персонала), учебно-вспомогательного персонала образовательных организаций</t>
  </si>
  <si>
    <t>Субвенции бюджетам муниципальных образований на оплату труда прочих педагогических работников образовательных организаций</t>
  </si>
  <si>
    <t>Субвенции бюджетам муниципальных образований на оплату труда младшего обслуживающего персонала образовательных организаций</t>
  </si>
  <si>
    <t>Субвенции бюджетам муниципальных образований на оплату труда за индивидуальное обучение на основании медицинского заключения на дому детей, имеющих ограниченные возможности здоровья, за индивидуальное и групповое обучение детей, находящихся на длительном лечении в детских больницах (клиниках) и детских отделениях больниц для взрослых</t>
  </si>
  <si>
    <t>Проведение мероприятий по обеспечению антитеррористической защищенности объектов (территорий) в муниципальных учреждениях</t>
  </si>
  <si>
    <t xml:space="preserve">Реализация программы градостроительная деятельность </t>
  </si>
  <si>
    <t>1340290071</t>
  </si>
  <si>
    <t xml:space="preserve">                                                                                                                                            Приложение № 2</t>
  </si>
  <si>
    <t xml:space="preserve">                                                                                                к решению  Совета местного самоуправления</t>
  </si>
  <si>
    <t>022ЕГА1160</t>
  </si>
  <si>
    <t>ИМБТ по привлечению обучающихся к труду</t>
  </si>
  <si>
    <t>0220271270</t>
  </si>
  <si>
    <t>022Я153150</t>
  </si>
  <si>
    <t>022Ю457500</t>
  </si>
  <si>
    <t>022Ю651790</t>
  </si>
  <si>
    <t>022Ю650500</t>
  </si>
  <si>
    <t>11201L5190</t>
  </si>
  <si>
    <t>Расходы на поддержку отрасли культуры</t>
  </si>
  <si>
    <t>1340290000</t>
  </si>
  <si>
    <t>Ведомственная структура расходов местного бюджета на 2026 год и на плановый период 2027 и 2028 годов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</si>
  <si>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</si>
  <si>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Создание модельных муниципальных библиотек</t>
  </si>
  <si>
    <t>00</t>
  </si>
  <si>
    <t>МКУ"АВТОБАЗА местной администрации ЧМР"</t>
  </si>
  <si>
    <t>1120171120</t>
  </si>
  <si>
    <t>Иные межбюджетные трансферты на обеспечение жителей поселения услугами организации культуры</t>
  </si>
  <si>
    <t>8990690059</t>
  </si>
  <si>
    <t>02401М9400</t>
  </si>
  <si>
    <t>МП "Гармонизация межэтнических отношений и укрепление единства российской нации</t>
  </si>
  <si>
    <t>052И351540</t>
  </si>
  <si>
    <t>400</t>
  </si>
  <si>
    <t>Реализация мероприятий по модернизации коммунальной инфраструктуры</t>
  </si>
  <si>
    <t>9690090019</t>
  </si>
  <si>
    <t xml:space="preserve">                                                                                     Чегемского муниципального района от            2026 г. №   </t>
  </si>
  <si>
    <t>11203L4670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</si>
  <si>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</si>
  <si>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022Ю151160</t>
  </si>
  <si>
    <t>Реализация программы комплексного развития молодежной политики "Регион для молодых"</t>
  </si>
  <si>
    <t>Реализация муниципальной  программы "Развитие системы поддержки молодежной политики "Регион для молодых"</t>
  </si>
  <si>
    <t>Осуществление части полномочий по организации водоснабжения населения в пределах полномочий, установленных законодательством Российской Федерации</t>
  </si>
  <si>
    <t>10600Z0480</t>
  </si>
  <si>
    <t>организация и осуществление мероприятий по территориальной обороне и гражданской обороне, защите населения и территории муниципальных образований от чрезвычайных ситуаций природного и техногенного характера, включая поддержку в состоянии постоянной готов</t>
  </si>
  <si>
    <t>9390090019</t>
  </si>
  <si>
    <t>0250790071</t>
  </si>
  <si>
    <t>112Я554540</t>
  </si>
  <si>
    <t>1310392151</t>
  </si>
  <si>
    <t>123Ч1Z0690</t>
  </si>
  <si>
    <t xml:space="preserve"> осуществление выявления объектов накопленного вреда окружающей среде и организация ликвидации такого вреда применительно к территориям, расположенным в границах земельных участков, находящихся в собственности муниципального образования</t>
  </si>
  <si>
    <t>3841292065</t>
  </si>
  <si>
    <t>244</t>
  </si>
  <si>
    <t>3841292064</t>
  </si>
  <si>
    <t>Обеспечение обслуживания, содержания и сохранности имущества муниципальной казны (за исключением земельных участков)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</si>
  <si>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</si>
  <si>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1310394009</t>
  </si>
  <si>
    <t>Создание объектов социального и производственного комплексов, в том числе объектов общегражданского назначения, жилья, инфраструктуры, и иных объектов</t>
  </si>
  <si>
    <t>022020059</t>
  </si>
  <si>
    <t>Иные выплаты персоналу учреждений, за исключением фонда оплаты труда</t>
  </si>
  <si>
    <t>0240772020</t>
  </si>
  <si>
    <t xml:space="preserve"> района от 30.06.2026 №300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</si>
</sst>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3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49" fontId="1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/>
    <xf numFmtId="2" fontId="2" fillId="2" borderId="0" xfId="0" applyNumberFormat="1" applyFont="1" applyFill="1"/>
    <xf numFmtId="2" fontId="1" fillId="2" borderId="0" xfId="0" applyNumberFormat="1" applyFont="1" applyFill="1"/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10" fontId="1" fillId="2" borderId="0" xfId="0" applyNumberFormat="1" applyFont="1" applyFill="1"/>
    <xf numFmtId="0" fontId="2" fillId="2" borderId="1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10" fontId="1" fillId="2" borderId="0" xfId="0" quotePrefix="1" applyNumberFormat="1" applyFont="1" applyFill="1"/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0"/>
  <sheetViews>
    <sheetView tabSelected="1" zoomScale="90" zoomScaleNormal="90" workbookViewId="0">
      <selection activeCell="M6" sqref="M6"/>
    </sheetView>
  </sheetViews>
  <sheetFormatPr defaultRowHeight="15" x14ac:dyDescent="0.25"/>
  <cols>
    <col min="1" max="1" width="25.7109375" style="7" customWidth="1"/>
    <col min="2" max="2" width="4.7109375" style="7" customWidth="1"/>
    <col min="3" max="3" width="3.5703125" style="7" customWidth="1"/>
    <col min="4" max="4" width="3.42578125" style="7" customWidth="1"/>
    <col min="5" max="5" width="11" style="7" customWidth="1"/>
    <col min="6" max="6" width="4" style="7" customWidth="1"/>
    <col min="7" max="7" width="0.140625" style="14" customWidth="1"/>
    <col min="8" max="8" width="14.7109375" style="14" customWidth="1"/>
    <col min="9" max="9" width="15.42578125" style="14" customWidth="1"/>
    <col min="10" max="10" width="14.7109375" style="14" customWidth="1"/>
    <col min="11" max="11" width="16.85546875" style="7" customWidth="1"/>
    <col min="12" max="12" width="9.140625" style="7" customWidth="1"/>
    <col min="13" max="13" width="13.5703125" style="7" bestFit="1" customWidth="1"/>
    <col min="14" max="14" width="9.140625" style="7"/>
    <col min="15" max="15" width="12.140625" style="7" bestFit="1" customWidth="1"/>
    <col min="16" max="16384" width="9.140625" style="7"/>
  </cols>
  <sheetData>
    <row r="1" spans="1:15" x14ac:dyDescent="0.25">
      <c r="A1" s="12" t="s">
        <v>213</v>
      </c>
      <c r="B1" s="12"/>
      <c r="C1" s="12"/>
      <c r="D1" s="12"/>
      <c r="E1" s="12"/>
      <c r="F1" s="12"/>
      <c r="G1" s="13"/>
      <c r="H1" s="13"/>
    </row>
    <row r="2" spans="1:15" x14ac:dyDescent="0.25">
      <c r="A2" s="12" t="s">
        <v>214</v>
      </c>
      <c r="B2" s="12"/>
      <c r="C2" s="12"/>
      <c r="D2" s="12"/>
      <c r="E2" s="12"/>
      <c r="F2" s="12"/>
      <c r="G2" s="13"/>
      <c r="H2" s="13"/>
    </row>
    <row r="3" spans="1:15" x14ac:dyDescent="0.25">
      <c r="A3" s="12" t="s">
        <v>239</v>
      </c>
      <c r="B3" s="12"/>
      <c r="C3" s="12"/>
      <c r="D3" s="12"/>
      <c r="E3" s="12"/>
      <c r="F3" s="12"/>
      <c r="G3" s="13"/>
      <c r="H3" s="13"/>
      <c r="I3" s="14" t="s">
        <v>264</v>
      </c>
    </row>
    <row r="4" spans="1:15" x14ac:dyDescent="0.25">
      <c r="A4" s="7" t="s">
        <v>225</v>
      </c>
    </row>
    <row r="5" spans="1:15" x14ac:dyDescent="0.25">
      <c r="A5" s="7" t="s">
        <v>17</v>
      </c>
    </row>
    <row r="6" spans="1:15" x14ac:dyDescent="0.25">
      <c r="A6" s="15" t="s">
        <v>0</v>
      </c>
      <c r="B6" s="15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6">
        <v>2021</v>
      </c>
      <c r="H6" s="16">
        <v>2026</v>
      </c>
      <c r="I6" s="16">
        <v>2027</v>
      </c>
      <c r="J6" s="16">
        <v>2028</v>
      </c>
    </row>
    <row r="7" spans="1:15" x14ac:dyDescent="0.25">
      <c r="A7" s="17" t="s">
        <v>6</v>
      </c>
      <c r="B7" s="18"/>
      <c r="C7" s="18"/>
      <c r="D7" s="18"/>
      <c r="E7" s="18"/>
      <c r="F7" s="18"/>
      <c r="G7" s="19" t="e">
        <f>G9+G68+G75+G91+G164+G198+G230</f>
        <v>#REF!</v>
      </c>
      <c r="H7" s="19">
        <f>H9+H68+H75+H82+H91+H164+H183+H198+H230+H8</f>
        <v>2175784851.1300001</v>
      </c>
      <c r="I7" s="19">
        <f>I9+I68+I75+I82+I91+I164+I183+I198+I230+I8</f>
        <v>2191143525.0099998</v>
      </c>
      <c r="J7" s="19">
        <f>J9+J68+J75+J82+J91+J164+J183+J198+J230+J8</f>
        <v>2052523579.1099999</v>
      </c>
      <c r="K7" s="14"/>
      <c r="L7" s="14"/>
      <c r="M7" s="14"/>
      <c r="O7" s="14"/>
    </row>
    <row r="8" spans="1:15" ht="45" x14ac:dyDescent="0.25">
      <c r="A8" s="10" t="s">
        <v>97</v>
      </c>
      <c r="B8" s="20"/>
      <c r="C8" s="20"/>
      <c r="D8" s="20"/>
      <c r="E8" s="20"/>
      <c r="F8" s="20"/>
      <c r="G8" s="6"/>
      <c r="H8" s="6"/>
      <c r="I8" s="6">
        <v>36534809</v>
      </c>
      <c r="J8" s="6">
        <v>73069618</v>
      </c>
      <c r="K8" s="14"/>
    </row>
    <row r="9" spans="1:15" ht="57.75" x14ac:dyDescent="0.25">
      <c r="A9" s="21" t="s">
        <v>43</v>
      </c>
      <c r="B9" s="22">
        <v>803</v>
      </c>
      <c r="C9" s="22"/>
      <c r="D9" s="22"/>
      <c r="E9" s="22"/>
      <c r="F9" s="22"/>
      <c r="G9" s="5" t="e">
        <f>G10+G38+G45+G51+G57+G59+#REF!+G62+G22+G21+#REF!</f>
        <v>#REF!</v>
      </c>
      <c r="H9" s="5">
        <f>H10+H38+H45+H51+H62+H61+H56</f>
        <v>158115057</v>
      </c>
      <c r="I9" s="5">
        <f>I10+I38+I45+I51+I62+I61+I56</f>
        <v>153815760</v>
      </c>
      <c r="J9" s="5">
        <f>J10+J38+J45+J51+J62+J61+J56</f>
        <v>150586202</v>
      </c>
      <c r="K9" s="14"/>
    </row>
    <row r="10" spans="1:15" ht="29.25" x14ac:dyDescent="0.25">
      <c r="A10" s="21" t="s">
        <v>52</v>
      </c>
      <c r="B10" s="22">
        <v>803</v>
      </c>
      <c r="C10" s="23" t="s">
        <v>8</v>
      </c>
      <c r="D10" s="22"/>
      <c r="E10" s="22"/>
      <c r="F10" s="22"/>
      <c r="G10" s="5" t="e">
        <f>G11+G23</f>
        <v>#REF!</v>
      </c>
      <c r="H10" s="5">
        <f>H11+H21+H22+H23</f>
        <v>112468542</v>
      </c>
      <c r="I10" s="5">
        <f t="shared" ref="I10:J10" si="0">I11+I21+I22+I23</f>
        <v>92701575</v>
      </c>
      <c r="J10" s="5">
        <f t="shared" si="0"/>
        <v>101622017</v>
      </c>
      <c r="K10" s="14"/>
      <c r="M10" s="14"/>
    </row>
    <row r="11" spans="1:15" ht="120" x14ac:dyDescent="0.25">
      <c r="A11" s="8" t="s">
        <v>53</v>
      </c>
      <c r="B11" s="2">
        <v>803</v>
      </c>
      <c r="C11" s="3" t="s">
        <v>8</v>
      </c>
      <c r="D11" s="3" t="s">
        <v>10</v>
      </c>
      <c r="E11" s="3"/>
      <c r="F11" s="3"/>
      <c r="G11" s="4" t="e">
        <f t="shared" ref="G11:J11" si="1">G12+G14</f>
        <v>#REF!</v>
      </c>
      <c r="H11" s="4">
        <f t="shared" si="1"/>
        <v>87803906</v>
      </c>
      <c r="I11" s="4">
        <f t="shared" si="1"/>
        <v>68216853</v>
      </c>
      <c r="J11" s="4">
        <f t="shared" si="1"/>
        <v>76491853</v>
      </c>
      <c r="K11" s="14"/>
      <c r="O11" s="14"/>
    </row>
    <row r="12" spans="1:15" ht="75" x14ac:dyDescent="0.25">
      <c r="A12" s="8" t="s">
        <v>195</v>
      </c>
      <c r="B12" s="2">
        <v>803</v>
      </c>
      <c r="C12" s="3" t="s">
        <v>8</v>
      </c>
      <c r="D12" s="3" t="s">
        <v>10</v>
      </c>
      <c r="E12" s="3" t="s">
        <v>194</v>
      </c>
      <c r="F12" s="3"/>
      <c r="G12" s="4">
        <f>G13</f>
        <v>6326478</v>
      </c>
      <c r="H12" s="4">
        <f>H13</f>
        <v>16041324</v>
      </c>
      <c r="I12" s="4">
        <f t="shared" ref="I12:J12" si="2">I13</f>
        <v>14257245</v>
      </c>
      <c r="J12" s="4">
        <f t="shared" si="2"/>
        <v>14257245</v>
      </c>
    </row>
    <row r="13" spans="1:15" ht="90" x14ac:dyDescent="0.25">
      <c r="A13" s="8" t="s">
        <v>193</v>
      </c>
      <c r="B13" s="2">
        <v>803</v>
      </c>
      <c r="C13" s="3" t="s">
        <v>8</v>
      </c>
      <c r="D13" s="3" t="s">
        <v>10</v>
      </c>
      <c r="E13" s="3" t="s">
        <v>153</v>
      </c>
      <c r="F13" s="3" t="s">
        <v>48</v>
      </c>
      <c r="G13" s="4">
        <f>6068725+257753</f>
        <v>6326478</v>
      </c>
      <c r="H13" s="4">
        <v>16041324</v>
      </c>
      <c r="I13" s="4">
        <v>14257245</v>
      </c>
      <c r="J13" s="4">
        <v>14257245</v>
      </c>
    </row>
    <row r="14" spans="1:15" ht="30" x14ac:dyDescent="0.25">
      <c r="A14" s="8" t="s">
        <v>196</v>
      </c>
      <c r="B14" s="2">
        <v>803</v>
      </c>
      <c r="C14" s="3" t="s">
        <v>8</v>
      </c>
      <c r="D14" s="3" t="s">
        <v>10</v>
      </c>
      <c r="E14" s="3" t="s">
        <v>197</v>
      </c>
      <c r="F14" s="3"/>
      <c r="G14" s="4" t="e">
        <f>G15+G16+G19+#REF!</f>
        <v>#REF!</v>
      </c>
      <c r="H14" s="4">
        <f>H15+H16+H17+H18+H19+H20</f>
        <v>71762582</v>
      </c>
      <c r="I14" s="4">
        <f t="shared" ref="I14:J14" si="3">I15+I16+I17+I18+I19+I20</f>
        <v>53959608</v>
      </c>
      <c r="J14" s="4">
        <f t="shared" si="3"/>
        <v>62234608</v>
      </c>
    </row>
    <row r="15" spans="1:15" ht="90" x14ac:dyDescent="0.25">
      <c r="A15" s="8" t="s">
        <v>193</v>
      </c>
      <c r="B15" s="2">
        <v>803</v>
      </c>
      <c r="C15" s="3" t="s">
        <v>8</v>
      </c>
      <c r="D15" s="3" t="s">
        <v>10</v>
      </c>
      <c r="E15" s="3" t="s">
        <v>154</v>
      </c>
      <c r="F15" s="3" t="s">
        <v>48</v>
      </c>
      <c r="G15" s="4">
        <f>22688920+1245468</f>
        <v>23934388</v>
      </c>
      <c r="H15" s="4">
        <v>47275349</v>
      </c>
      <c r="I15" s="4">
        <v>41870588</v>
      </c>
      <c r="J15" s="4">
        <v>41870588</v>
      </c>
    </row>
    <row r="16" spans="1:15" ht="60" x14ac:dyDescent="0.25">
      <c r="A16" s="8" t="s">
        <v>104</v>
      </c>
      <c r="B16" s="2">
        <v>803</v>
      </c>
      <c r="C16" s="3" t="s">
        <v>8</v>
      </c>
      <c r="D16" s="3" t="s">
        <v>10</v>
      </c>
      <c r="E16" s="3" t="s">
        <v>22</v>
      </c>
      <c r="F16" s="3" t="s">
        <v>49</v>
      </c>
      <c r="G16" s="4">
        <v>16163913.189999999</v>
      </c>
      <c r="H16" s="4">
        <v>175000</v>
      </c>
      <c r="I16" s="4">
        <v>175000</v>
      </c>
      <c r="J16" s="4">
        <v>175000</v>
      </c>
    </row>
    <row r="17" spans="1:11" ht="45" x14ac:dyDescent="0.25">
      <c r="A17" s="8" t="s">
        <v>156</v>
      </c>
      <c r="B17" s="2">
        <v>803</v>
      </c>
      <c r="C17" s="3" t="s">
        <v>8</v>
      </c>
      <c r="D17" s="3" t="s">
        <v>10</v>
      </c>
      <c r="E17" s="3" t="s">
        <v>155</v>
      </c>
      <c r="F17" s="3" t="s">
        <v>48</v>
      </c>
      <c r="G17" s="4"/>
      <c r="H17" s="4">
        <f>2691870+6241313</f>
        <v>8933183</v>
      </c>
      <c r="I17" s="4">
        <v>2691870</v>
      </c>
      <c r="J17" s="4">
        <v>2691870</v>
      </c>
    </row>
    <row r="18" spans="1:11" ht="45" x14ac:dyDescent="0.25">
      <c r="A18" s="8" t="s">
        <v>156</v>
      </c>
      <c r="B18" s="2">
        <v>803</v>
      </c>
      <c r="C18" s="3" t="s">
        <v>8</v>
      </c>
      <c r="D18" s="3" t="s">
        <v>10</v>
      </c>
      <c r="E18" s="3" t="s">
        <v>155</v>
      </c>
      <c r="F18" s="3" t="s">
        <v>49</v>
      </c>
      <c r="G18" s="4"/>
      <c r="H18" s="4">
        <f>29155085-16412000-5000000</f>
        <v>7743085</v>
      </c>
      <c r="I18" s="4">
        <f>29155085-13575000-8750000</f>
        <v>6830085</v>
      </c>
      <c r="J18" s="4">
        <f>29155085-14050000</f>
        <v>15105085</v>
      </c>
    </row>
    <row r="19" spans="1:11" ht="45" x14ac:dyDescent="0.25">
      <c r="A19" s="8" t="s">
        <v>156</v>
      </c>
      <c r="B19" s="2">
        <v>803</v>
      </c>
      <c r="C19" s="3" t="s">
        <v>8</v>
      </c>
      <c r="D19" s="3" t="s">
        <v>10</v>
      </c>
      <c r="E19" s="3" t="s">
        <v>155</v>
      </c>
      <c r="F19" s="3" t="s">
        <v>50</v>
      </c>
      <c r="G19" s="4">
        <v>1542000</v>
      </c>
      <c r="H19" s="4">
        <v>5797166</v>
      </c>
      <c r="I19" s="4">
        <v>553266</v>
      </c>
      <c r="J19" s="4">
        <v>553266</v>
      </c>
    </row>
    <row r="20" spans="1:11" ht="75" x14ac:dyDescent="0.25">
      <c r="A20" s="8" t="s">
        <v>198</v>
      </c>
      <c r="B20" s="2">
        <v>803</v>
      </c>
      <c r="C20" s="3" t="s">
        <v>8</v>
      </c>
      <c r="D20" s="3" t="s">
        <v>10</v>
      </c>
      <c r="E20" s="3" t="s">
        <v>157</v>
      </c>
      <c r="F20" s="3" t="s">
        <v>49</v>
      </c>
      <c r="G20" s="4"/>
      <c r="H20" s="4">
        <v>1838799</v>
      </c>
      <c r="I20" s="4">
        <v>1838799</v>
      </c>
      <c r="J20" s="4">
        <v>1838799</v>
      </c>
    </row>
    <row r="21" spans="1:11" ht="105" x14ac:dyDescent="0.25">
      <c r="A21" s="8" t="s">
        <v>117</v>
      </c>
      <c r="B21" s="2">
        <v>803</v>
      </c>
      <c r="C21" s="3" t="s">
        <v>8</v>
      </c>
      <c r="D21" s="3" t="s">
        <v>11</v>
      </c>
      <c r="E21" s="3" t="s">
        <v>115</v>
      </c>
      <c r="F21" s="3" t="s">
        <v>49</v>
      </c>
      <c r="G21" s="4">
        <v>7048</v>
      </c>
      <c r="H21" s="4">
        <v>28515</v>
      </c>
      <c r="I21" s="4">
        <v>1952</v>
      </c>
      <c r="J21" s="6">
        <v>2127</v>
      </c>
      <c r="K21" s="14"/>
    </row>
    <row r="22" spans="1:11" ht="30" x14ac:dyDescent="0.25">
      <c r="A22" s="8" t="s">
        <v>125</v>
      </c>
      <c r="B22" s="2">
        <v>803</v>
      </c>
      <c r="C22" s="3" t="s">
        <v>8</v>
      </c>
      <c r="D22" s="3" t="s">
        <v>93</v>
      </c>
      <c r="E22" s="3" t="s">
        <v>151</v>
      </c>
      <c r="F22" s="3"/>
      <c r="G22" s="4">
        <v>2000000</v>
      </c>
      <c r="H22" s="4">
        <v>5000000</v>
      </c>
      <c r="I22" s="4">
        <v>5000000</v>
      </c>
      <c r="J22" s="4">
        <v>5000000</v>
      </c>
      <c r="K22" s="14"/>
    </row>
    <row r="23" spans="1:11" ht="45" x14ac:dyDescent="0.25">
      <c r="A23" s="8" t="s">
        <v>55</v>
      </c>
      <c r="B23" s="2">
        <v>803</v>
      </c>
      <c r="C23" s="3" t="s">
        <v>8</v>
      </c>
      <c r="D23" s="3" t="s">
        <v>18</v>
      </c>
      <c r="E23" s="3"/>
      <c r="F23" s="3"/>
      <c r="G23" s="4" t="e">
        <f>#REF!+#REF!+G26+G29+G30+G32+#REF!+G36+G24+#REF!+#REF!</f>
        <v>#REF!</v>
      </c>
      <c r="H23" s="5">
        <f>H26+H32+H33+H36+H30+H28</f>
        <v>19636121</v>
      </c>
      <c r="I23" s="5">
        <f t="shared" ref="I23:J23" si="4">I26+I32+I33+I36+I30</f>
        <v>19482770</v>
      </c>
      <c r="J23" s="5">
        <f t="shared" si="4"/>
        <v>20128037</v>
      </c>
      <c r="K23" s="14"/>
    </row>
    <row r="24" spans="1:11" ht="90" hidden="1" x14ac:dyDescent="0.25">
      <c r="A24" s="8" t="s">
        <v>114</v>
      </c>
      <c r="B24" s="2">
        <v>803</v>
      </c>
      <c r="C24" s="3" t="s">
        <v>8</v>
      </c>
      <c r="D24" s="3" t="s">
        <v>18</v>
      </c>
      <c r="E24" s="3" t="s">
        <v>111</v>
      </c>
      <c r="F24" s="3"/>
      <c r="G24" s="4">
        <f t="shared" ref="G24" si="5">G25</f>
        <v>100000</v>
      </c>
      <c r="H24" s="4"/>
      <c r="I24" s="4"/>
      <c r="J24" s="4"/>
      <c r="K24" s="14"/>
    </row>
    <row r="25" spans="1:11" ht="90" hidden="1" x14ac:dyDescent="0.25">
      <c r="A25" s="8" t="s">
        <v>114</v>
      </c>
      <c r="B25" s="2">
        <v>803</v>
      </c>
      <c r="C25" s="3" t="s">
        <v>8</v>
      </c>
      <c r="D25" s="3" t="s">
        <v>18</v>
      </c>
      <c r="E25" s="3" t="s">
        <v>111</v>
      </c>
      <c r="F25" s="3" t="s">
        <v>112</v>
      </c>
      <c r="G25" s="4">
        <v>100000</v>
      </c>
      <c r="H25" s="4"/>
      <c r="I25" s="4"/>
      <c r="J25" s="4"/>
    </row>
    <row r="26" spans="1:11" ht="60" x14ac:dyDescent="0.25">
      <c r="A26" s="8" t="s">
        <v>60</v>
      </c>
      <c r="B26" s="2">
        <v>803</v>
      </c>
      <c r="C26" s="3" t="s">
        <v>8</v>
      </c>
      <c r="D26" s="3" t="s">
        <v>18</v>
      </c>
      <c r="E26" s="3" t="s">
        <v>46</v>
      </c>
      <c r="F26" s="3"/>
      <c r="G26" s="4">
        <f t="shared" ref="G26" si="6">G27</f>
        <v>210000</v>
      </c>
      <c r="H26" s="4">
        <f>H27</f>
        <v>194000</v>
      </c>
      <c r="I26" s="4">
        <f t="shared" ref="I26:J26" si="7">I27</f>
        <v>194000</v>
      </c>
      <c r="J26" s="4">
        <f t="shared" si="7"/>
        <v>194000</v>
      </c>
    </row>
    <row r="27" spans="1:11" ht="60" x14ac:dyDescent="0.25">
      <c r="A27" s="8" t="s">
        <v>47</v>
      </c>
      <c r="B27" s="2">
        <v>803</v>
      </c>
      <c r="C27" s="3" t="s">
        <v>8</v>
      </c>
      <c r="D27" s="3" t="s">
        <v>18</v>
      </c>
      <c r="E27" s="3" t="s">
        <v>46</v>
      </c>
      <c r="F27" s="3" t="s">
        <v>51</v>
      </c>
      <c r="G27" s="4">
        <f>200000+10000</f>
        <v>210000</v>
      </c>
      <c r="H27" s="4">
        <v>194000</v>
      </c>
      <c r="I27" s="4">
        <v>194000</v>
      </c>
      <c r="J27" s="4">
        <v>194000</v>
      </c>
    </row>
    <row r="28" spans="1:11" ht="45" x14ac:dyDescent="0.25">
      <c r="A28" s="8" t="s">
        <v>20</v>
      </c>
      <c r="B28" s="2">
        <v>803</v>
      </c>
      <c r="C28" s="3" t="s">
        <v>8</v>
      </c>
      <c r="D28" s="3" t="s">
        <v>18</v>
      </c>
      <c r="E28" s="3" t="s">
        <v>33</v>
      </c>
      <c r="F28" s="3"/>
      <c r="G28" s="4">
        <f t="shared" ref="G28" si="8">G29</f>
        <v>173000</v>
      </c>
      <c r="H28" s="4">
        <f>H29</f>
        <v>270000</v>
      </c>
      <c r="I28" s="4">
        <f t="shared" ref="I28:J28" si="9">I29</f>
        <v>0</v>
      </c>
      <c r="J28" s="4">
        <f t="shared" si="9"/>
        <v>0</v>
      </c>
    </row>
    <row r="29" spans="1:11" ht="45" x14ac:dyDescent="0.25">
      <c r="A29" s="8" t="s">
        <v>20</v>
      </c>
      <c r="B29" s="2">
        <v>803</v>
      </c>
      <c r="C29" s="3" t="s">
        <v>8</v>
      </c>
      <c r="D29" s="3" t="s">
        <v>18</v>
      </c>
      <c r="E29" s="3" t="s">
        <v>33</v>
      </c>
      <c r="F29" s="3" t="s">
        <v>50</v>
      </c>
      <c r="G29" s="4">
        <f>160000+10000+3000</f>
        <v>173000</v>
      </c>
      <c r="H29" s="4">
        <f>235000+35000</f>
        <v>270000</v>
      </c>
      <c r="I29" s="4">
        <v>0</v>
      </c>
      <c r="J29" s="4">
        <v>0</v>
      </c>
    </row>
    <row r="30" spans="1:11" ht="39" x14ac:dyDescent="0.25">
      <c r="A30" s="9" t="s">
        <v>129</v>
      </c>
      <c r="B30" s="2">
        <v>803</v>
      </c>
      <c r="C30" s="3" t="s">
        <v>8</v>
      </c>
      <c r="D30" s="3" t="s">
        <v>18</v>
      </c>
      <c r="E30" s="1" t="s">
        <v>103</v>
      </c>
      <c r="F30" s="3"/>
      <c r="G30" s="4">
        <v>150000</v>
      </c>
      <c r="H30" s="4">
        <f>H31</f>
        <v>300000</v>
      </c>
      <c r="I30" s="4">
        <f t="shared" ref="I30:J30" si="10">I31</f>
        <v>300000</v>
      </c>
      <c r="J30" s="4">
        <f t="shared" si="10"/>
        <v>300000</v>
      </c>
    </row>
    <row r="31" spans="1:11" ht="39" x14ac:dyDescent="0.25">
      <c r="A31" s="9" t="s">
        <v>129</v>
      </c>
      <c r="B31" s="2">
        <v>803</v>
      </c>
      <c r="C31" s="3" t="s">
        <v>8</v>
      </c>
      <c r="D31" s="3" t="s">
        <v>18</v>
      </c>
      <c r="E31" s="1" t="s">
        <v>103</v>
      </c>
      <c r="F31" s="3" t="s">
        <v>49</v>
      </c>
      <c r="G31" s="4">
        <v>150000</v>
      </c>
      <c r="H31" s="4">
        <v>300000</v>
      </c>
      <c r="I31" s="4">
        <v>300000</v>
      </c>
      <c r="J31" s="4">
        <v>300000</v>
      </c>
    </row>
    <row r="32" spans="1:11" ht="135" x14ac:dyDescent="0.25">
      <c r="A32" s="8" t="s">
        <v>73</v>
      </c>
      <c r="B32" s="2">
        <v>803</v>
      </c>
      <c r="C32" s="3" t="s">
        <v>8</v>
      </c>
      <c r="D32" s="3" t="s">
        <v>18</v>
      </c>
      <c r="E32" s="3" t="s">
        <v>158</v>
      </c>
      <c r="F32" s="3" t="s">
        <v>48</v>
      </c>
      <c r="G32" s="4" t="e">
        <f>#REF!</f>
        <v>#REF!</v>
      </c>
      <c r="H32" s="4">
        <v>4457121</v>
      </c>
      <c r="I32" s="4">
        <v>3980037</v>
      </c>
      <c r="J32" s="4">
        <v>3980037</v>
      </c>
    </row>
    <row r="33" spans="1:11" ht="195" x14ac:dyDescent="0.25">
      <c r="A33" s="8" t="s">
        <v>37</v>
      </c>
      <c r="B33" s="2">
        <v>803</v>
      </c>
      <c r="C33" s="3" t="s">
        <v>8</v>
      </c>
      <c r="D33" s="3" t="s">
        <v>18</v>
      </c>
      <c r="E33" s="3"/>
      <c r="F33" s="3"/>
      <c r="G33" s="4"/>
      <c r="H33" s="4">
        <f>H34+H35</f>
        <v>14412000</v>
      </c>
      <c r="I33" s="4">
        <f>I34+I35</f>
        <v>15005733</v>
      </c>
      <c r="J33" s="4">
        <v>15651000</v>
      </c>
    </row>
    <row r="34" spans="1:11" ht="165" x14ac:dyDescent="0.25">
      <c r="A34" s="8" t="s">
        <v>57</v>
      </c>
      <c r="B34" s="2">
        <v>803</v>
      </c>
      <c r="C34" s="3" t="s">
        <v>8</v>
      </c>
      <c r="D34" s="3" t="s">
        <v>18</v>
      </c>
      <c r="E34" s="3" t="s">
        <v>31</v>
      </c>
      <c r="F34" s="3" t="s">
        <v>48</v>
      </c>
      <c r="G34" s="4"/>
      <c r="H34" s="4">
        <v>7205450</v>
      </c>
      <c r="I34" s="4">
        <v>6389171</v>
      </c>
      <c r="J34" s="4">
        <v>6389171</v>
      </c>
    </row>
    <row r="35" spans="1:11" ht="45" x14ac:dyDescent="0.25">
      <c r="A35" s="8" t="s">
        <v>150</v>
      </c>
      <c r="B35" s="2">
        <v>803</v>
      </c>
      <c r="C35" s="3" t="s">
        <v>8</v>
      </c>
      <c r="D35" s="3" t="s">
        <v>18</v>
      </c>
      <c r="E35" s="3" t="s">
        <v>31</v>
      </c>
      <c r="F35" s="3" t="s">
        <v>49</v>
      </c>
      <c r="G35" s="4"/>
      <c r="H35" s="4">
        <v>7206550</v>
      </c>
      <c r="I35" s="4">
        <v>8616562</v>
      </c>
      <c r="J35" s="4">
        <f t="shared" ref="J35" si="11">J33-J34</f>
        <v>9261829</v>
      </c>
    </row>
    <row r="36" spans="1:11" ht="126" customHeight="1" x14ac:dyDescent="0.25">
      <c r="A36" s="10" t="s">
        <v>44</v>
      </c>
      <c r="B36" s="2">
        <v>803</v>
      </c>
      <c r="C36" s="3" t="s">
        <v>8</v>
      </c>
      <c r="D36" s="3" t="s">
        <v>18</v>
      </c>
      <c r="E36" s="3" t="s">
        <v>45</v>
      </c>
      <c r="F36" s="3"/>
      <c r="G36" s="4">
        <v>3000</v>
      </c>
      <c r="H36" s="4">
        <v>3000</v>
      </c>
      <c r="I36" s="4">
        <v>3000</v>
      </c>
      <c r="J36" s="6">
        <v>3000</v>
      </c>
    </row>
    <row r="37" spans="1:11" ht="60" x14ac:dyDescent="0.25">
      <c r="A37" s="10" t="s">
        <v>58</v>
      </c>
      <c r="B37" s="2">
        <v>803</v>
      </c>
      <c r="C37" s="3" t="s">
        <v>8</v>
      </c>
      <c r="D37" s="3" t="s">
        <v>18</v>
      </c>
      <c r="E37" s="3" t="s">
        <v>45</v>
      </c>
      <c r="F37" s="3" t="s">
        <v>49</v>
      </c>
      <c r="G37" s="4">
        <v>3000</v>
      </c>
      <c r="H37" s="4">
        <v>3000</v>
      </c>
      <c r="I37" s="4">
        <v>3000</v>
      </c>
      <c r="J37" s="4">
        <v>3000</v>
      </c>
    </row>
    <row r="38" spans="1:11" ht="57.75" x14ac:dyDescent="0.25">
      <c r="A38" s="25" t="s">
        <v>61</v>
      </c>
      <c r="B38" s="22">
        <v>803</v>
      </c>
      <c r="C38" s="23" t="s">
        <v>9</v>
      </c>
      <c r="D38" s="23"/>
      <c r="E38" s="23"/>
      <c r="F38" s="23"/>
      <c r="G38" s="5">
        <f t="shared" ref="G38:J38" si="12">G39</f>
        <v>2516103</v>
      </c>
      <c r="H38" s="5">
        <f t="shared" si="12"/>
        <v>20932510</v>
      </c>
      <c r="I38" s="5">
        <f t="shared" si="12"/>
        <v>19757394</v>
      </c>
      <c r="J38" s="5">
        <f t="shared" si="12"/>
        <v>7607394</v>
      </c>
    </row>
    <row r="39" spans="1:11" ht="45" x14ac:dyDescent="0.25">
      <c r="A39" s="10" t="s">
        <v>201</v>
      </c>
      <c r="B39" s="2">
        <v>803</v>
      </c>
      <c r="C39" s="3" t="s">
        <v>9</v>
      </c>
      <c r="D39" s="3" t="s">
        <v>56</v>
      </c>
      <c r="E39" s="3" t="s">
        <v>200</v>
      </c>
      <c r="F39" s="3"/>
      <c r="G39" s="4">
        <f>G40+G43</f>
        <v>2516103</v>
      </c>
      <c r="H39" s="4">
        <f>H40+H43+H42</f>
        <v>20932510</v>
      </c>
      <c r="I39" s="4">
        <f t="shared" ref="I39:J39" si="13">I40+I43+I42</f>
        <v>19757394</v>
      </c>
      <c r="J39" s="4">
        <f t="shared" si="13"/>
        <v>7607394</v>
      </c>
    </row>
    <row r="40" spans="1:11" ht="90" x14ac:dyDescent="0.25">
      <c r="A40" s="10" t="s">
        <v>193</v>
      </c>
      <c r="B40" s="2">
        <v>803</v>
      </c>
      <c r="C40" s="3" t="s">
        <v>9</v>
      </c>
      <c r="D40" s="3" t="s">
        <v>56</v>
      </c>
      <c r="E40" s="3" t="s">
        <v>159</v>
      </c>
      <c r="F40" s="3"/>
      <c r="G40" s="4">
        <f t="shared" ref="G40" si="14">G41</f>
        <v>864692</v>
      </c>
      <c r="H40" s="4">
        <f>H41</f>
        <v>1608290</v>
      </c>
      <c r="I40" s="4">
        <f t="shared" ref="I40:J40" si="15">I41</f>
        <v>1433174</v>
      </c>
      <c r="J40" s="4">
        <f t="shared" si="15"/>
        <v>1433174</v>
      </c>
    </row>
    <row r="41" spans="1:11" ht="90" x14ac:dyDescent="0.25">
      <c r="A41" s="10" t="s">
        <v>193</v>
      </c>
      <c r="B41" s="2">
        <v>803</v>
      </c>
      <c r="C41" s="3" t="s">
        <v>9</v>
      </c>
      <c r="D41" s="3" t="s">
        <v>56</v>
      </c>
      <c r="E41" s="3" t="s">
        <v>159</v>
      </c>
      <c r="F41" s="3" t="s">
        <v>48</v>
      </c>
      <c r="G41" s="4">
        <f>999320-134628</f>
        <v>864692</v>
      </c>
      <c r="H41" s="4">
        <v>1608290</v>
      </c>
      <c r="I41" s="4">
        <v>1433174</v>
      </c>
      <c r="J41" s="4">
        <v>1433174</v>
      </c>
    </row>
    <row r="42" spans="1:11" ht="136.5" customHeight="1" x14ac:dyDescent="0.25">
      <c r="A42" s="10" t="s">
        <v>247</v>
      </c>
      <c r="B42" s="2">
        <v>803</v>
      </c>
      <c r="C42" s="3" t="s">
        <v>9</v>
      </c>
      <c r="D42" s="3" t="s">
        <v>56</v>
      </c>
      <c r="E42" s="3" t="s">
        <v>246</v>
      </c>
      <c r="F42" s="3" t="s">
        <v>49</v>
      </c>
      <c r="G42" s="4"/>
      <c r="H42" s="4">
        <v>13150000</v>
      </c>
      <c r="I42" s="4">
        <v>12150000</v>
      </c>
      <c r="J42" s="4">
        <v>0</v>
      </c>
    </row>
    <row r="43" spans="1:11" ht="195" x14ac:dyDescent="0.25">
      <c r="A43" s="10" t="s">
        <v>62</v>
      </c>
      <c r="B43" s="2">
        <v>803</v>
      </c>
      <c r="C43" s="3" t="s">
        <v>9</v>
      </c>
      <c r="D43" s="3" t="s">
        <v>56</v>
      </c>
      <c r="E43" s="3" t="s">
        <v>160</v>
      </c>
      <c r="F43" s="3"/>
      <c r="G43" s="4">
        <f t="shared" ref="G43" si="16">G44</f>
        <v>1651411</v>
      </c>
      <c r="H43" s="4">
        <f>H44</f>
        <v>6174220</v>
      </c>
      <c r="I43" s="4">
        <f t="shared" ref="I43:J43" si="17">I44</f>
        <v>6174220</v>
      </c>
      <c r="J43" s="4">
        <f t="shared" si="17"/>
        <v>6174220</v>
      </c>
    </row>
    <row r="44" spans="1:11" ht="45" x14ac:dyDescent="0.25">
      <c r="A44" s="10" t="s">
        <v>156</v>
      </c>
      <c r="B44" s="2">
        <v>803</v>
      </c>
      <c r="C44" s="3" t="s">
        <v>9</v>
      </c>
      <c r="D44" s="3" t="s">
        <v>56</v>
      </c>
      <c r="E44" s="3" t="s">
        <v>160</v>
      </c>
      <c r="F44" s="3" t="s">
        <v>48</v>
      </c>
      <c r="G44" s="4">
        <f>1587106+64305</f>
        <v>1651411</v>
      </c>
      <c r="H44" s="4">
        <v>6174220</v>
      </c>
      <c r="I44" s="4">
        <v>6174220</v>
      </c>
      <c r="J44" s="4">
        <v>6174220</v>
      </c>
    </row>
    <row r="45" spans="1:11" ht="29.25" x14ac:dyDescent="0.25">
      <c r="A45" s="25" t="s">
        <v>63</v>
      </c>
      <c r="B45" s="22">
        <v>803</v>
      </c>
      <c r="C45" s="23" t="s">
        <v>10</v>
      </c>
      <c r="D45" s="23"/>
      <c r="E45" s="23"/>
      <c r="F45" s="23"/>
      <c r="G45" s="5" t="e">
        <f>#REF!</f>
        <v>#REF!</v>
      </c>
      <c r="H45" s="5">
        <f>H46+H47</f>
        <v>4205693</v>
      </c>
      <c r="I45" s="5">
        <f t="shared" ref="I45:J45" si="18">I46+I47</f>
        <v>21577640</v>
      </c>
      <c r="J45" s="5">
        <f t="shared" si="18"/>
        <v>21577640</v>
      </c>
      <c r="K45" s="14"/>
    </row>
    <row r="46" spans="1:11" ht="60" x14ac:dyDescent="0.25">
      <c r="A46" s="8" t="s">
        <v>113</v>
      </c>
      <c r="B46" s="2">
        <v>803</v>
      </c>
      <c r="C46" s="3" t="s">
        <v>10</v>
      </c>
      <c r="D46" s="3" t="s">
        <v>11</v>
      </c>
      <c r="E46" s="3" t="s">
        <v>116</v>
      </c>
      <c r="F46" s="3" t="s">
        <v>49</v>
      </c>
      <c r="G46" s="4">
        <f>239300+300000</f>
        <v>539300</v>
      </c>
      <c r="H46" s="4">
        <v>1607340</v>
      </c>
      <c r="I46" s="4">
        <v>1607340</v>
      </c>
      <c r="J46" s="4">
        <v>1607340</v>
      </c>
    </row>
    <row r="47" spans="1:11" ht="43.5" x14ac:dyDescent="0.25">
      <c r="A47" s="25" t="s">
        <v>229</v>
      </c>
      <c r="B47" s="2">
        <v>803</v>
      </c>
      <c r="C47" s="3" t="s">
        <v>10</v>
      </c>
      <c r="D47" s="3" t="s">
        <v>16</v>
      </c>
      <c r="E47" s="3"/>
      <c r="F47" s="3"/>
      <c r="G47" s="4"/>
      <c r="H47" s="4">
        <f>H48+H49+H50</f>
        <v>2598353</v>
      </c>
      <c r="I47" s="4">
        <f t="shared" ref="I47:J47" si="19">I48+I49+I50</f>
        <v>19970300</v>
      </c>
      <c r="J47" s="4">
        <f t="shared" si="19"/>
        <v>19970300</v>
      </c>
      <c r="K47" s="14"/>
    </row>
    <row r="48" spans="1:11" ht="60" x14ac:dyDescent="0.25">
      <c r="A48" s="8" t="s">
        <v>38</v>
      </c>
      <c r="B48" s="2">
        <v>803</v>
      </c>
      <c r="C48" s="3" t="s">
        <v>10</v>
      </c>
      <c r="D48" s="3" t="s">
        <v>16</v>
      </c>
      <c r="E48" s="3" t="s">
        <v>232</v>
      </c>
      <c r="F48" s="3" t="s">
        <v>48</v>
      </c>
      <c r="G48" s="4"/>
      <c r="H48" s="4">
        <f>15031712-12883947</f>
        <v>2147765</v>
      </c>
      <c r="I48" s="4">
        <v>16470300</v>
      </c>
      <c r="J48" s="4">
        <v>16470300</v>
      </c>
    </row>
    <row r="49" spans="1:11" ht="60" x14ac:dyDescent="0.25">
      <c r="A49" s="10" t="s">
        <v>58</v>
      </c>
      <c r="B49" s="2">
        <v>803</v>
      </c>
      <c r="C49" s="3" t="s">
        <v>10</v>
      </c>
      <c r="D49" s="3" t="s">
        <v>16</v>
      </c>
      <c r="E49" s="3" t="s">
        <v>232</v>
      </c>
      <c r="F49" s="3" t="s">
        <v>49</v>
      </c>
      <c r="G49" s="4"/>
      <c r="H49" s="4">
        <f>3000000+1438588+16412000+500000-12150000-8750000</f>
        <v>450588</v>
      </c>
      <c r="I49" s="4">
        <v>3000000</v>
      </c>
      <c r="J49" s="4">
        <v>3000000</v>
      </c>
    </row>
    <row r="50" spans="1:11" ht="30" x14ac:dyDescent="0.25">
      <c r="A50" s="10" t="s">
        <v>59</v>
      </c>
      <c r="B50" s="2">
        <v>803</v>
      </c>
      <c r="C50" s="3" t="s">
        <v>10</v>
      </c>
      <c r="D50" s="3" t="s">
        <v>16</v>
      </c>
      <c r="E50" s="3" t="s">
        <v>232</v>
      </c>
      <c r="F50" s="3" t="s">
        <v>50</v>
      </c>
      <c r="G50" s="4"/>
      <c r="H50" s="4">
        <v>0</v>
      </c>
      <c r="I50" s="4">
        <v>500000</v>
      </c>
      <c r="J50" s="4">
        <v>500000</v>
      </c>
    </row>
    <row r="51" spans="1:11" s="12" customFormat="1" ht="42.75" x14ac:dyDescent="0.2">
      <c r="A51" s="21" t="s">
        <v>110</v>
      </c>
      <c r="B51" s="22">
        <v>803</v>
      </c>
      <c r="C51" s="23" t="s">
        <v>11</v>
      </c>
      <c r="D51" s="23"/>
      <c r="E51" s="23"/>
      <c r="F51" s="23"/>
      <c r="G51" s="5" t="e">
        <f>G52+#REF!+#REF!+#REF!+#REF!+#REF!+#REF!+#REF!+#REF!</f>
        <v>#REF!</v>
      </c>
      <c r="H51" s="5">
        <f>H52</f>
        <v>6724501</v>
      </c>
      <c r="I51" s="5">
        <f t="shared" ref="I51:J51" si="20">I52</f>
        <v>6017134</v>
      </c>
      <c r="J51" s="5">
        <f t="shared" si="20"/>
        <v>6017134</v>
      </c>
      <c r="K51" s="13"/>
    </row>
    <row r="52" spans="1:11" ht="105" x14ac:dyDescent="0.25">
      <c r="A52" s="8" t="s">
        <v>203</v>
      </c>
      <c r="B52" s="2">
        <v>803</v>
      </c>
      <c r="C52" s="3" t="s">
        <v>11</v>
      </c>
      <c r="D52" s="3" t="s">
        <v>11</v>
      </c>
      <c r="E52" s="3" t="s">
        <v>202</v>
      </c>
      <c r="F52" s="3"/>
      <c r="G52" s="4" t="e">
        <f>#REF!</f>
        <v>#REF!</v>
      </c>
      <c r="H52" s="4">
        <f>H54+H55+H53</f>
        <v>6724501</v>
      </c>
      <c r="I52" s="4">
        <f t="shared" ref="I52:J52" si="21">I54+I55</f>
        <v>6017134</v>
      </c>
      <c r="J52" s="4">
        <f t="shared" si="21"/>
        <v>6017134</v>
      </c>
    </row>
    <row r="53" spans="1:11" ht="89.25" customHeight="1" x14ac:dyDescent="0.25">
      <c r="A53" s="8" t="s">
        <v>245</v>
      </c>
      <c r="B53" s="2">
        <v>803</v>
      </c>
      <c r="C53" s="3" t="s">
        <v>11</v>
      </c>
      <c r="D53" s="3" t="s">
        <v>11</v>
      </c>
      <c r="E53" s="3" t="s">
        <v>136</v>
      </c>
      <c r="F53" s="3" t="s">
        <v>49</v>
      </c>
      <c r="G53" s="4"/>
      <c r="H53" s="4">
        <v>77113</v>
      </c>
      <c r="I53" s="4">
        <v>0</v>
      </c>
      <c r="J53" s="4">
        <v>0</v>
      </c>
    </row>
    <row r="54" spans="1:11" ht="90" x14ac:dyDescent="0.25">
      <c r="A54" s="8" t="s">
        <v>193</v>
      </c>
      <c r="B54" s="2">
        <v>803</v>
      </c>
      <c r="C54" s="3" t="s">
        <v>11</v>
      </c>
      <c r="D54" s="3" t="s">
        <v>11</v>
      </c>
      <c r="E54" s="3" t="s">
        <v>161</v>
      </c>
      <c r="F54" s="3" t="s">
        <v>48</v>
      </c>
      <c r="G54" s="4">
        <f>3039157+129099</f>
        <v>3168256</v>
      </c>
      <c r="H54" s="4">
        <v>5888098</v>
      </c>
      <c r="I54" s="4">
        <v>5257844</v>
      </c>
      <c r="J54" s="4">
        <v>5257844</v>
      </c>
    </row>
    <row r="55" spans="1:11" ht="45" x14ac:dyDescent="0.25">
      <c r="A55" s="8" t="s">
        <v>156</v>
      </c>
      <c r="B55" s="2">
        <v>803</v>
      </c>
      <c r="C55" s="3" t="s">
        <v>11</v>
      </c>
      <c r="D55" s="3" t="s">
        <v>11</v>
      </c>
      <c r="E55" s="3" t="s">
        <v>162</v>
      </c>
      <c r="F55" s="3" t="s">
        <v>48</v>
      </c>
      <c r="G55" s="4"/>
      <c r="H55" s="4">
        <v>759290</v>
      </c>
      <c r="I55" s="4">
        <v>759290</v>
      </c>
      <c r="J55" s="4">
        <v>759290</v>
      </c>
    </row>
    <row r="56" spans="1:11" ht="30" x14ac:dyDescent="0.25">
      <c r="A56" s="8" t="s">
        <v>86</v>
      </c>
      <c r="B56" s="2">
        <v>803</v>
      </c>
      <c r="C56" s="3" t="s">
        <v>13</v>
      </c>
      <c r="D56" s="3" t="s">
        <v>13</v>
      </c>
      <c r="E56" s="3"/>
      <c r="F56" s="3"/>
      <c r="G56" s="4"/>
      <c r="H56" s="4">
        <f>H57+H59+H60+H58</f>
        <v>1100000</v>
      </c>
      <c r="I56" s="4">
        <f t="shared" ref="I56:J56" si="22">I57+I59+I60</f>
        <v>1250000</v>
      </c>
      <c r="J56" s="4">
        <f t="shared" si="22"/>
        <v>1250000</v>
      </c>
    </row>
    <row r="57" spans="1:11" ht="60" x14ac:dyDescent="0.25">
      <c r="A57" s="10" t="s">
        <v>123</v>
      </c>
      <c r="B57" s="2">
        <v>803</v>
      </c>
      <c r="C57" s="3" t="s">
        <v>13</v>
      </c>
      <c r="D57" s="3" t="s">
        <v>13</v>
      </c>
      <c r="E57" s="3" t="s">
        <v>122</v>
      </c>
      <c r="F57" s="3" t="s">
        <v>49</v>
      </c>
      <c r="G57" s="4">
        <v>100000</v>
      </c>
      <c r="H57" s="4">
        <v>140000</v>
      </c>
      <c r="I57" s="4">
        <v>200000</v>
      </c>
      <c r="J57" s="4">
        <v>200000</v>
      </c>
      <c r="K57" s="14"/>
    </row>
    <row r="58" spans="1:11" ht="60" x14ac:dyDescent="0.25">
      <c r="A58" s="10" t="s">
        <v>123</v>
      </c>
      <c r="B58" s="2">
        <v>803</v>
      </c>
      <c r="C58" s="3" t="s">
        <v>13</v>
      </c>
      <c r="D58" s="3" t="s">
        <v>13</v>
      </c>
      <c r="E58" s="3" t="s">
        <v>122</v>
      </c>
      <c r="F58" s="3" t="s">
        <v>51</v>
      </c>
      <c r="G58" s="4"/>
      <c r="H58" s="4">
        <v>60000</v>
      </c>
      <c r="I58" s="4"/>
      <c r="J58" s="4"/>
      <c r="K58" s="14"/>
    </row>
    <row r="59" spans="1:11" ht="90" x14ac:dyDescent="0.25">
      <c r="A59" s="10" t="s">
        <v>124</v>
      </c>
      <c r="B59" s="2">
        <v>803</v>
      </c>
      <c r="C59" s="3" t="s">
        <v>13</v>
      </c>
      <c r="D59" s="3" t="s">
        <v>13</v>
      </c>
      <c r="E59" s="3" t="s">
        <v>99</v>
      </c>
      <c r="F59" s="3" t="s">
        <v>49</v>
      </c>
      <c r="G59" s="4">
        <v>150000</v>
      </c>
      <c r="H59" s="4">
        <v>150000</v>
      </c>
      <c r="I59" s="4">
        <v>300000</v>
      </c>
      <c r="J59" s="4">
        <v>300000</v>
      </c>
    </row>
    <row r="60" spans="1:11" ht="116.25" customHeight="1" x14ac:dyDescent="0.25">
      <c r="A60" s="10" t="s">
        <v>210</v>
      </c>
      <c r="B60" s="2">
        <v>803</v>
      </c>
      <c r="C60" s="3" t="s">
        <v>13</v>
      </c>
      <c r="D60" s="3" t="s">
        <v>13</v>
      </c>
      <c r="E60" s="3" t="s">
        <v>181</v>
      </c>
      <c r="F60" s="3" t="s">
        <v>49</v>
      </c>
      <c r="G60" s="4"/>
      <c r="H60" s="4">
        <f>1300000-550000</f>
        <v>750000</v>
      </c>
      <c r="I60" s="4">
        <v>750000</v>
      </c>
      <c r="J60" s="4">
        <v>750000</v>
      </c>
    </row>
    <row r="61" spans="1:11" ht="90" x14ac:dyDescent="0.25">
      <c r="A61" s="10" t="s">
        <v>193</v>
      </c>
      <c r="B61" s="2">
        <v>803</v>
      </c>
      <c r="C61" s="3" t="s">
        <v>16</v>
      </c>
      <c r="D61" s="3" t="s">
        <v>10</v>
      </c>
      <c r="E61" s="3" t="s">
        <v>163</v>
      </c>
      <c r="F61" s="3" t="s">
        <v>48</v>
      </c>
      <c r="G61" s="4">
        <v>705170</v>
      </c>
      <c r="H61" s="4">
        <v>1604968</v>
      </c>
      <c r="I61" s="4">
        <v>1433174</v>
      </c>
      <c r="J61" s="4">
        <v>1433174</v>
      </c>
    </row>
    <row r="62" spans="1:11" ht="29.25" x14ac:dyDescent="0.25">
      <c r="A62" s="25" t="s">
        <v>71</v>
      </c>
      <c r="B62" s="22">
        <v>803</v>
      </c>
      <c r="C62" s="23" t="s">
        <v>56</v>
      </c>
      <c r="D62" s="23"/>
      <c r="E62" s="23"/>
      <c r="F62" s="23"/>
      <c r="G62" s="5" t="e">
        <f>G63+G65</f>
        <v>#REF!</v>
      </c>
      <c r="H62" s="5">
        <f>H63+H65</f>
        <v>11078843</v>
      </c>
      <c r="I62" s="5">
        <f t="shared" ref="I62:J62" si="23">I63+I65</f>
        <v>11078843</v>
      </c>
      <c r="J62" s="5">
        <f t="shared" si="23"/>
        <v>11078843</v>
      </c>
      <c r="K62" s="14"/>
    </row>
    <row r="63" spans="1:11" ht="60" x14ac:dyDescent="0.25">
      <c r="A63" s="10" t="s">
        <v>21</v>
      </c>
      <c r="B63" s="2">
        <v>803</v>
      </c>
      <c r="C63" s="3">
        <v>10</v>
      </c>
      <c r="D63" s="3" t="s">
        <v>8</v>
      </c>
      <c r="E63" s="3" t="s">
        <v>35</v>
      </c>
      <c r="F63" s="3"/>
      <c r="G63" s="4">
        <f t="shared" ref="G63" si="24">G64</f>
        <v>4573475</v>
      </c>
      <c r="H63" s="4">
        <f>H64</f>
        <v>9087543</v>
      </c>
      <c r="I63" s="4">
        <f t="shared" ref="I63:J63" si="25">I64</f>
        <v>9087543</v>
      </c>
      <c r="J63" s="4">
        <f t="shared" si="25"/>
        <v>9087543</v>
      </c>
    </row>
    <row r="64" spans="1:11" ht="45" x14ac:dyDescent="0.25">
      <c r="A64" s="8" t="s">
        <v>74</v>
      </c>
      <c r="B64" s="2">
        <v>803</v>
      </c>
      <c r="C64" s="2">
        <v>10</v>
      </c>
      <c r="D64" s="3" t="s">
        <v>8</v>
      </c>
      <c r="E64" s="3" t="s">
        <v>35</v>
      </c>
      <c r="F64" s="3" t="s">
        <v>51</v>
      </c>
      <c r="G64" s="4">
        <f>3800000+773475</f>
        <v>4573475</v>
      </c>
      <c r="H64" s="4">
        <v>9087543</v>
      </c>
      <c r="I64" s="4">
        <v>9087543</v>
      </c>
      <c r="J64" s="4">
        <v>9087543</v>
      </c>
    </row>
    <row r="65" spans="1:11" ht="30" x14ac:dyDescent="0.25">
      <c r="A65" s="8" t="s">
        <v>72</v>
      </c>
      <c r="B65" s="2">
        <v>803</v>
      </c>
      <c r="C65" s="2">
        <v>10</v>
      </c>
      <c r="D65" s="3" t="s">
        <v>12</v>
      </c>
      <c r="E65" s="3"/>
      <c r="F65" s="3"/>
      <c r="G65" s="4" t="e">
        <f t="shared" ref="G65:J65" si="26">G66</f>
        <v>#REF!</v>
      </c>
      <c r="H65" s="4">
        <f t="shared" si="26"/>
        <v>1991300</v>
      </c>
      <c r="I65" s="4">
        <f t="shared" si="26"/>
        <v>1991300</v>
      </c>
      <c r="J65" s="4">
        <f t="shared" si="26"/>
        <v>1991300</v>
      </c>
    </row>
    <row r="66" spans="1:11" ht="60" x14ac:dyDescent="0.25">
      <c r="A66" s="8" t="s">
        <v>95</v>
      </c>
      <c r="B66" s="2">
        <v>803</v>
      </c>
      <c r="C66" s="2">
        <v>10</v>
      </c>
      <c r="D66" s="3" t="s">
        <v>12</v>
      </c>
      <c r="E66" s="3" t="s">
        <v>36</v>
      </c>
      <c r="F66" s="3"/>
      <c r="G66" s="4" t="e">
        <f>G67+#REF!</f>
        <v>#REF!</v>
      </c>
      <c r="H66" s="4">
        <f>H67</f>
        <v>1991300</v>
      </c>
      <c r="I66" s="4">
        <f t="shared" ref="I66:J66" si="27">I67</f>
        <v>1991300</v>
      </c>
      <c r="J66" s="4">
        <f t="shared" si="27"/>
        <v>1991300</v>
      </c>
    </row>
    <row r="67" spans="1:11" ht="165" x14ac:dyDescent="0.25">
      <c r="A67" s="8" t="s">
        <v>57</v>
      </c>
      <c r="B67" s="2">
        <v>803</v>
      </c>
      <c r="C67" s="2">
        <v>10</v>
      </c>
      <c r="D67" s="3" t="s">
        <v>12</v>
      </c>
      <c r="E67" s="3" t="s">
        <v>36</v>
      </c>
      <c r="F67" s="3" t="s">
        <v>48</v>
      </c>
      <c r="G67" s="4">
        <v>942300</v>
      </c>
      <c r="H67" s="4">
        <v>1991300</v>
      </c>
      <c r="I67" s="4">
        <v>1991300</v>
      </c>
      <c r="J67" s="4">
        <v>1991300</v>
      </c>
    </row>
    <row r="68" spans="1:11" ht="43.5" x14ac:dyDescent="0.25">
      <c r="A68" s="25" t="s">
        <v>42</v>
      </c>
      <c r="B68" s="22">
        <v>805</v>
      </c>
      <c r="C68" s="23"/>
      <c r="D68" s="23"/>
      <c r="E68" s="23"/>
      <c r="F68" s="23"/>
      <c r="G68" s="5" t="e">
        <f>G71+G73+#REF!</f>
        <v>#REF!</v>
      </c>
      <c r="H68" s="5">
        <f>H71+H73+H74+H72</f>
        <v>5918618</v>
      </c>
      <c r="I68" s="5">
        <f t="shared" ref="I68:J68" si="28">I71+I73+I74+I72</f>
        <v>5307014</v>
      </c>
      <c r="J68" s="5">
        <f t="shared" si="28"/>
        <v>5307014</v>
      </c>
      <c r="K68" s="14"/>
    </row>
    <row r="69" spans="1:11" ht="90" x14ac:dyDescent="0.25">
      <c r="A69" s="10" t="s">
        <v>54</v>
      </c>
      <c r="B69" s="2">
        <v>805</v>
      </c>
      <c r="C69" s="3" t="s">
        <v>8</v>
      </c>
      <c r="D69" s="3" t="s">
        <v>12</v>
      </c>
      <c r="E69" s="3"/>
      <c r="F69" s="3"/>
      <c r="G69" s="4" t="e">
        <f t="shared" ref="G69" si="29">G70</f>
        <v>#REF!</v>
      </c>
      <c r="H69" s="4">
        <f>H70</f>
        <v>5918618</v>
      </c>
      <c r="I69" s="4">
        <f t="shared" ref="I69:J69" si="30">I70</f>
        <v>5307014</v>
      </c>
      <c r="J69" s="4">
        <f t="shared" si="30"/>
        <v>5307014</v>
      </c>
    </row>
    <row r="70" spans="1:11" ht="75" x14ac:dyDescent="0.25">
      <c r="A70" s="10" t="s">
        <v>195</v>
      </c>
      <c r="B70" s="2">
        <v>805</v>
      </c>
      <c r="C70" s="3" t="s">
        <v>8</v>
      </c>
      <c r="D70" s="3" t="s">
        <v>12</v>
      </c>
      <c r="E70" s="3" t="s">
        <v>199</v>
      </c>
      <c r="F70" s="3"/>
      <c r="G70" s="4" t="e">
        <f>G71+G73+#REF!</f>
        <v>#REF!</v>
      </c>
      <c r="H70" s="4">
        <f>H71+H73+H74+H72</f>
        <v>5918618</v>
      </c>
      <c r="I70" s="4">
        <f t="shared" ref="I70:J70" si="31">I71+I73+I74+I72</f>
        <v>5307014</v>
      </c>
      <c r="J70" s="4">
        <f t="shared" si="31"/>
        <v>5307014</v>
      </c>
    </row>
    <row r="71" spans="1:11" ht="90" x14ac:dyDescent="0.25">
      <c r="A71" s="10" t="s">
        <v>193</v>
      </c>
      <c r="B71" s="26">
        <v>805</v>
      </c>
      <c r="C71" s="3" t="s">
        <v>8</v>
      </c>
      <c r="D71" s="3" t="s">
        <v>12</v>
      </c>
      <c r="E71" s="3" t="s">
        <v>164</v>
      </c>
      <c r="F71" s="3" t="s">
        <v>48</v>
      </c>
      <c r="G71" s="4">
        <f>2439301+97252</f>
        <v>2536553</v>
      </c>
      <c r="H71" s="4">
        <f>5863448-14000</f>
        <v>5849448</v>
      </c>
      <c r="I71" s="4">
        <v>5251844</v>
      </c>
      <c r="J71" s="4">
        <v>5251844</v>
      </c>
    </row>
    <row r="72" spans="1:11" ht="58.5" customHeight="1" x14ac:dyDescent="0.25">
      <c r="A72" s="10" t="s">
        <v>104</v>
      </c>
      <c r="B72" s="26">
        <v>805</v>
      </c>
      <c r="C72" s="3" t="s">
        <v>8</v>
      </c>
      <c r="D72" s="3" t="s">
        <v>12</v>
      </c>
      <c r="E72" s="3" t="s">
        <v>248</v>
      </c>
      <c r="F72" s="3" t="s">
        <v>49</v>
      </c>
      <c r="G72" s="4"/>
      <c r="H72" s="4">
        <v>8750</v>
      </c>
      <c r="I72" s="4">
        <v>8750</v>
      </c>
      <c r="J72" s="4">
        <v>8750</v>
      </c>
    </row>
    <row r="73" spans="1:11" ht="60" x14ac:dyDescent="0.25">
      <c r="A73" s="10" t="s">
        <v>104</v>
      </c>
      <c r="B73" s="26">
        <v>805</v>
      </c>
      <c r="C73" s="3" t="s">
        <v>8</v>
      </c>
      <c r="D73" s="3" t="s">
        <v>12</v>
      </c>
      <c r="E73" s="3" t="s">
        <v>165</v>
      </c>
      <c r="F73" s="3" t="s">
        <v>49</v>
      </c>
      <c r="G73" s="4">
        <v>7</v>
      </c>
      <c r="H73" s="4">
        <v>41420</v>
      </c>
      <c r="I73" s="4">
        <v>41420</v>
      </c>
      <c r="J73" s="4">
        <v>41420</v>
      </c>
    </row>
    <row r="74" spans="1:11" ht="45" x14ac:dyDescent="0.25">
      <c r="A74" s="10" t="s">
        <v>156</v>
      </c>
      <c r="B74" s="26">
        <v>805</v>
      </c>
      <c r="C74" s="3" t="s">
        <v>8</v>
      </c>
      <c r="D74" s="3" t="s">
        <v>12</v>
      </c>
      <c r="E74" s="3" t="s">
        <v>165</v>
      </c>
      <c r="F74" s="3" t="s">
        <v>50</v>
      </c>
      <c r="G74" s="4"/>
      <c r="H74" s="4">
        <f>5000+14000</f>
        <v>19000</v>
      </c>
      <c r="I74" s="4">
        <v>5000</v>
      </c>
      <c r="J74" s="4">
        <v>5000</v>
      </c>
    </row>
    <row r="75" spans="1:11" ht="57.75" x14ac:dyDescent="0.25">
      <c r="A75" s="25" t="s">
        <v>106</v>
      </c>
      <c r="B75" s="27">
        <v>830</v>
      </c>
      <c r="C75" s="3"/>
      <c r="D75" s="3"/>
      <c r="E75" s="3"/>
      <c r="F75" s="3"/>
      <c r="G75" s="5" t="e">
        <f t="shared" ref="G75:J76" si="32">G76</f>
        <v>#REF!</v>
      </c>
      <c r="H75" s="5">
        <f t="shared" si="32"/>
        <v>5779639</v>
      </c>
      <c r="I75" s="5">
        <f t="shared" si="32"/>
        <v>5253930</v>
      </c>
      <c r="J75" s="5">
        <f t="shared" si="32"/>
        <v>5253930</v>
      </c>
    </row>
    <row r="76" spans="1:11" ht="30" x14ac:dyDescent="0.25">
      <c r="A76" s="10" t="s">
        <v>105</v>
      </c>
      <c r="B76" s="26">
        <v>830</v>
      </c>
      <c r="C76" s="3" t="s">
        <v>8</v>
      </c>
      <c r="D76" s="3"/>
      <c r="E76" s="3"/>
      <c r="F76" s="3"/>
      <c r="G76" s="4" t="e">
        <f t="shared" si="32"/>
        <v>#REF!</v>
      </c>
      <c r="H76" s="4">
        <f t="shared" si="32"/>
        <v>5779639</v>
      </c>
      <c r="I76" s="4">
        <f t="shared" si="32"/>
        <v>5253930</v>
      </c>
      <c r="J76" s="4">
        <f t="shared" si="32"/>
        <v>5253930</v>
      </c>
      <c r="K76" s="14"/>
    </row>
    <row r="77" spans="1:11" ht="30" x14ac:dyDescent="0.25">
      <c r="A77" s="10" t="s">
        <v>105</v>
      </c>
      <c r="B77" s="26">
        <v>830</v>
      </c>
      <c r="C77" s="3" t="s">
        <v>8</v>
      </c>
      <c r="D77" s="3" t="s">
        <v>9</v>
      </c>
      <c r="E77" s="3"/>
      <c r="F77" s="3"/>
      <c r="G77" s="4" t="e">
        <f>G78+G79+#REF!+#REF!</f>
        <v>#REF!</v>
      </c>
      <c r="H77" s="4">
        <f>H78+H79+H81+H80</f>
        <v>5779639</v>
      </c>
      <c r="I77" s="4">
        <f t="shared" ref="I77:J77" si="33">I78+I79+I81+I80</f>
        <v>5253930</v>
      </c>
      <c r="J77" s="4">
        <f t="shared" si="33"/>
        <v>5253930</v>
      </c>
    </row>
    <row r="78" spans="1:11" ht="90" x14ac:dyDescent="0.25">
      <c r="A78" s="10" t="s">
        <v>193</v>
      </c>
      <c r="B78" s="26">
        <v>830</v>
      </c>
      <c r="C78" s="3" t="s">
        <v>8</v>
      </c>
      <c r="D78" s="3" t="s">
        <v>9</v>
      </c>
      <c r="E78" s="3" t="s">
        <v>166</v>
      </c>
      <c r="F78" s="3" t="s">
        <v>48</v>
      </c>
      <c r="G78" s="4">
        <f>988372+92935</f>
        <v>1081307</v>
      </c>
      <c r="H78" s="4">
        <v>2547769</v>
      </c>
      <c r="I78" s="4">
        <v>2279746</v>
      </c>
      <c r="J78" s="4">
        <v>2279746</v>
      </c>
    </row>
    <row r="79" spans="1:11" ht="90" x14ac:dyDescent="0.25">
      <c r="A79" s="10" t="s">
        <v>193</v>
      </c>
      <c r="B79" s="26">
        <v>830</v>
      </c>
      <c r="C79" s="3" t="s">
        <v>8</v>
      </c>
      <c r="D79" s="3" t="s">
        <v>9</v>
      </c>
      <c r="E79" s="3" t="s">
        <v>167</v>
      </c>
      <c r="F79" s="3" t="s">
        <v>48</v>
      </c>
      <c r="G79" s="4">
        <f>1077962-45350</f>
        <v>1032612</v>
      </c>
      <c r="H79" s="4">
        <v>2443410</v>
      </c>
      <c r="I79" s="4">
        <v>2185724</v>
      </c>
      <c r="J79" s="4">
        <v>2185724</v>
      </c>
    </row>
    <row r="80" spans="1:11" ht="60" x14ac:dyDescent="0.25">
      <c r="A80" s="10" t="s">
        <v>104</v>
      </c>
      <c r="B80" s="26">
        <v>830</v>
      </c>
      <c r="C80" s="3" t="s">
        <v>8</v>
      </c>
      <c r="D80" s="3" t="s">
        <v>9</v>
      </c>
      <c r="E80" s="3" t="s">
        <v>238</v>
      </c>
      <c r="F80" s="3" t="s">
        <v>49</v>
      </c>
      <c r="G80" s="4"/>
      <c r="H80" s="4">
        <v>14000</v>
      </c>
      <c r="I80" s="4">
        <v>14000</v>
      </c>
      <c r="J80" s="4">
        <v>14000</v>
      </c>
    </row>
    <row r="81" spans="1:13" ht="45" x14ac:dyDescent="0.25">
      <c r="A81" s="10" t="s">
        <v>156</v>
      </c>
      <c r="B81" s="26">
        <v>830</v>
      </c>
      <c r="C81" s="3" t="s">
        <v>8</v>
      </c>
      <c r="D81" s="3" t="s">
        <v>9</v>
      </c>
      <c r="E81" s="3" t="s">
        <v>168</v>
      </c>
      <c r="F81" s="3" t="s">
        <v>49</v>
      </c>
      <c r="G81" s="4"/>
      <c r="H81" s="4">
        <v>774460</v>
      </c>
      <c r="I81" s="4">
        <v>774460</v>
      </c>
      <c r="J81" s="4">
        <v>774460</v>
      </c>
    </row>
    <row r="82" spans="1:13" x14ac:dyDescent="0.25">
      <c r="A82" s="25" t="s">
        <v>143</v>
      </c>
      <c r="B82" s="27">
        <v>866</v>
      </c>
      <c r="C82" s="23"/>
      <c r="D82" s="23"/>
      <c r="E82" s="23"/>
      <c r="F82" s="23"/>
      <c r="G82" s="5"/>
      <c r="H82" s="5">
        <f>H83+H84+H85+H86+H90+H87+H88+H89</f>
        <v>36658077</v>
      </c>
      <c r="I82" s="5">
        <f t="shared" ref="I82:J82" si="34">I83+I84+I85+I86+I90</f>
        <v>18767815</v>
      </c>
      <c r="J82" s="5">
        <f t="shared" si="34"/>
        <v>18767815</v>
      </c>
      <c r="K82" s="14"/>
    </row>
    <row r="83" spans="1:13" ht="45" x14ac:dyDescent="0.25">
      <c r="A83" s="10" t="s">
        <v>211</v>
      </c>
      <c r="B83" s="26">
        <v>866</v>
      </c>
      <c r="C83" s="3" t="s">
        <v>8</v>
      </c>
      <c r="D83" s="3" t="s">
        <v>18</v>
      </c>
      <c r="E83" s="3" t="s">
        <v>32</v>
      </c>
      <c r="F83" s="3" t="s">
        <v>49</v>
      </c>
      <c r="G83" s="4"/>
      <c r="H83" s="4">
        <f>2000000-1582000</f>
        <v>418000</v>
      </c>
      <c r="I83" s="4">
        <v>2000000</v>
      </c>
      <c r="J83" s="4">
        <v>2000000</v>
      </c>
    </row>
    <row r="84" spans="1:13" ht="90" x14ac:dyDescent="0.25">
      <c r="A84" s="10" t="s">
        <v>193</v>
      </c>
      <c r="B84" s="26">
        <v>866</v>
      </c>
      <c r="C84" s="3" t="s">
        <v>10</v>
      </c>
      <c r="D84" s="3" t="s">
        <v>11</v>
      </c>
      <c r="E84" s="3" t="s">
        <v>169</v>
      </c>
      <c r="F84" s="3" t="s">
        <v>48</v>
      </c>
      <c r="G84" s="4"/>
      <c r="H84" s="4">
        <v>17123838</v>
      </c>
      <c r="I84" s="4">
        <v>15432815</v>
      </c>
      <c r="J84" s="4">
        <v>15432815</v>
      </c>
    </row>
    <row r="85" spans="1:13" ht="60" x14ac:dyDescent="0.25">
      <c r="A85" s="10" t="s">
        <v>104</v>
      </c>
      <c r="B85" s="26">
        <v>866</v>
      </c>
      <c r="C85" s="3" t="s">
        <v>10</v>
      </c>
      <c r="D85" s="3" t="s">
        <v>11</v>
      </c>
      <c r="E85" s="3" t="s">
        <v>119</v>
      </c>
      <c r="F85" s="3" t="s">
        <v>49</v>
      </c>
      <c r="G85" s="4"/>
      <c r="H85" s="4">
        <v>60000</v>
      </c>
      <c r="I85" s="4">
        <v>60000</v>
      </c>
      <c r="J85" s="4">
        <v>60000</v>
      </c>
    </row>
    <row r="86" spans="1:13" ht="45" x14ac:dyDescent="0.25">
      <c r="A86" s="10" t="s">
        <v>156</v>
      </c>
      <c r="B86" s="26">
        <v>866</v>
      </c>
      <c r="C86" s="3" t="s">
        <v>10</v>
      </c>
      <c r="D86" s="3" t="s">
        <v>11</v>
      </c>
      <c r="E86" s="3" t="s">
        <v>170</v>
      </c>
      <c r="F86" s="3" t="s">
        <v>49</v>
      </c>
      <c r="G86" s="4"/>
      <c r="H86" s="4">
        <f>842000+988048</f>
        <v>1830048</v>
      </c>
      <c r="I86" s="4">
        <v>845000</v>
      </c>
      <c r="J86" s="4">
        <v>845000</v>
      </c>
    </row>
    <row r="87" spans="1:13" ht="30" x14ac:dyDescent="0.25">
      <c r="A87" s="10" t="s">
        <v>59</v>
      </c>
      <c r="B87" s="26">
        <v>866</v>
      </c>
      <c r="C87" s="3" t="s">
        <v>10</v>
      </c>
      <c r="D87" s="3" t="s">
        <v>11</v>
      </c>
      <c r="E87" s="3" t="s">
        <v>170</v>
      </c>
      <c r="F87" s="3" t="s">
        <v>50</v>
      </c>
      <c r="G87" s="4"/>
      <c r="H87" s="4">
        <v>3000</v>
      </c>
      <c r="I87" s="4">
        <v>0</v>
      </c>
      <c r="J87" s="4">
        <v>0</v>
      </c>
    </row>
    <row r="88" spans="1:13" ht="78" customHeight="1" x14ac:dyDescent="0.25">
      <c r="A88" s="10" t="s">
        <v>257</v>
      </c>
      <c r="B88" s="26">
        <v>866</v>
      </c>
      <c r="C88" s="3" t="s">
        <v>10</v>
      </c>
      <c r="D88" s="3" t="s">
        <v>19</v>
      </c>
      <c r="E88" s="3" t="s">
        <v>254</v>
      </c>
      <c r="F88" s="3" t="s">
        <v>255</v>
      </c>
      <c r="G88" s="4"/>
      <c r="H88" s="4">
        <v>15211191</v>
      </c>
      <c r="I88" s="4">
        <v>0</v>
      </c>
      <c r="J88" s="4">
        <v>0</v>
      </c>
    </row>
    <row r="89" spans="1:13" ht="48" customHeight="1" x14ac:dyDescent="0.25">
      <c r="A89" s="10" t="s">
        <v>258</v>
      </c>
      <c r="B89" s="26">
        <v>866</v>
      </c>
      <c r="C89" s="3" t="s">
        <v>10</v>
      </c>
      <c r="D89" s="3" t="s">
        <v>19</v>
      </c>
      <c r="E89" s="3" t="s">
        <v>256</v>
      </c>
      <c r="F89" s="3" t="s">
        <v>255</v>
      </c>
      <c r="G89" s="4"/>
      <c r="H89" s="4">
        <v>1582000</v>
      </c>
      <c r="I89" s="4">
        <v>0</v>
      </c>
      <c r="J89" s="4">
        <v>0</v>
      </c>
    </row>
    <row r="90" spans="1:13" ht="120" x14ac:dyDescent="0.25">
      <c r="A90" s="10" t="s">
        <v>204</v>
      </c>
      <c r="B90" s="26">
        <v>866</v>
      </c>
      <c r="C90" s="3" t="s">
        <v>11</v>
      </c>
      <c r="D90" s="3" t="s">
        <v>8</v>
      </c>
      <c r="E90" s="3" t="s">
        <v>171</v>
      </c>
      <c r="F90" s="3" t="s">
        <v>49</v>
      </c>
      <c r="G90" s="4"/>
      <c r="H90" s="4">
        <v>430000</v>
      </c>
      <c r="I90" s="4">
        <v>430000</v>
      </c>
      <c r="J90" s="4">
        <v>430000</v>
      </c>
    </row>
    <row r="91" spans="1:13" ht="114" x14ac:dyDescent="0.25">
      <c r="A91" s="28" t="s">
        <v>75</v>
      </c>
      <c r="B91" s="22">
        <v>873</v>
      </c>
      <c r="C91" s="23"/>
      <c r="D91" s="23"/>
      <c r="E91" s="23"/>
      <c r="F91" s="23"/>
      <c r="G91" s="5" t="e">
        <f>G92+G155</f>
        <v>#REF!</v>
      </c>
      <c r="H91" s="5">
        <f>H92+H155</f>
        <v>1433194348.4299998</v>
      </c>
      <c r="I91" s="5">
        <f>I92+I155</f>
        <v>1536547769.0099998</v>
      </c>
      <c r="J91" s="5">
        <f>J92+J155</f>
        <v>1388650671.1099999</v>
      </c>
      <c r="K91" s="14"/>
    </row>
    <row r="92" spans="1:13" x14ac:dyDescent="0.25">
      <c r="A92" s="28" t="s">
        <v>64</v>
      </c>
      <c r="B92" s="22">
        <v>873</v>
      </c>
      <c r="C92" s="23" t="s">
        <v>13</v>
      </c>
      <c r="D92" s="23"/>
      <c r="E92" s="23"/>
      <c r="F92" s="23"/>
      <c r="G92" s="5" t="e">
        <f>G93+G108+G127+G136+G138+#REF!</f>
        <v>#REF!</v>
      </c>
      <c r="H92" s="5">
        <f>H93+H108+H127+H136+H141+H138</f>
        <v>1398238918.4299998</v>
      </c>
      <c r="I92" s="5">
        <f>I93+I108+I127+I136+I141+I138</f>
        <v>1501592339.0099998</v>
      </c>
      <c r="J92" s="5">
        <f>J93+J108+J127+J136+J141+J138</f>
        <v>1353695241.1099999</v>
      </c>
      <c r="K92" s="14"/>
    </row>
    <row r="93" spans="1:13" x14ac:dyDescent="0.25">
      <c r="A93" s="11" t="s">
        <v>76</v>
      </c>
      <c r="B93" s="2">
        <v>873</v>
      </c>
      <c r="C93" s="3" t="s">
        <v>13</v>
      </c>
      <c r="D93" s="3" t="s">
        <v>8</v>
      </c>
      <c r="E93" s="3"/>
      <c r="F93" s="3"/>
      <c r="G93" s="4" t="e">
        <f>#REF!+G94+G102+G101</f>
        <v>#REF!</v>
      </c>
      <c r="H93" s="4">
        <f>H94+H100+H101+H102+H107+H103</f>
        <v>415330834.13999999</v>
      </c>
      <c r="I93" s="4">
        <f t="shared" ref="I93:J93" si="35">I94+I100+I101+I102+I107</f>
        <v>447246006.32999992</v>
      </c>
      <c r="J93" s="4">
        <f t="shared" si="35"/>
        <v>403254390.16999996</v>
      </c>
      <c r="K93" s="14"/>
      <c r="M93" s="14"/>
    </row>
    <row r="94" spans="1:13" ht="210" x14ac:dyDescent="0.25">
      <c r="A94" s="11" t="s">
        <v>138</v>
      </c>
      <c r="B94" s="2">
        <v>873</v>
      </c>
      <c r="C94" s="3" t="s">
        <v>13</v>
      </c>
      <c r="D94" s="3" t="s">
        <v>8</v>
      </c>
      <c r="E94" s="3" t="s">
        <v>139</v>
      </c>
      <c r="F94" s="3"/>
      <c r="G94" s="4">
        <f t="shared" ref="G94" si="36">G100</f>
        <v>146971200</v>
      </c>
      <c r="H94" s="4">
        <f>H95+H96+H97+H98+H99</f>
        <v>314297390.16999996</v>
      </c>
      <c r="I94" s="4">
        <f t="shared" ref="I94:J94" si="37">I95+I96+I97+I98+I99</f>
        <v>314297390.16999996</v>
      </c>
      <c r="J94" s="4">
        <f t="shared" si="37"/>
        <v>314297390.16999996</v>
      </c>
    </row>
    <row r="95" spans="1:13" ht="135" x14ac:dyDescent="0.25">
      <c r="A95" s="11" t="s">
        <v>205</v>
      </c>
      <c r="B95" s="2">
        <v>873</v>
      </c>
      <c r="C95" s="3" t="s">
        <v>13</v>
      </c>
      <c r="D95" s="3" t="s">
        <v>8</v>
      </c>
      <c r="E95" s="34" t="s">
        <v>172</v>
      </c>
      <c r="F95" s="3" t="s">
        <v>48</v>
      </c>
      <c r="G95" s="4"/>
      <c r="H95" s="4">
        <v>20990647.449999999</v>
      </c>
      <c r="I95" s="4">
        <v>20990647.449999999</v>
      </c>
      <c r="J95" s="4">
        <v>20990647.449999999</v>
      </c>
    </row>
    <row r="96" spans="1:13" ht="210" x14ac:dyDescent="0.25">
      <c r="A96" s="11" t="s">
        <v>206</v>
      </c>
      <c r="B96" s="2">
        <v>873</v>
      </c>
      <c r="C96" s="3" t="s">
        <v>13</v>
      </c>
      <c r="D96" s="3" t="s">
        <v>8</v>
      </c>
      <c r="E96" s="32" t="s">
        <v>173</v>
      </c>
      <c r="F96" s="3" t="s">
        <v>48</v>
      </c>
      <c r="G96" s="4"/>
      <c r="H96" s="4">
        <v>65763578.93</v>
      </c>
      <c r="I96" s="4">
        <v>65763578.93</v>
      </c>
      <c r="J96" s="4">
        <v>65763578.93</v>
      </c>
    </row>
    <row r="97" spans="1:11" ht="105" x14ac:dyDescent="0.25">
      <c r="A97" s="11" t="s">
        <v>140</v>
      </c>
      <c r="B97" s="2">
        <v>873</v>
      </c>
      <c r="C97" s="3" t="s">
        <v>13</v>
      </c>
      <c r="D97" s="3" t="s">
        <v>8</v>
      </c>
      <c r="E97" s="33" t="s">
        <v>174</v>
      </c>
      <c r="F97" s="3" t="s">
        <v>48</v>
      </c>
      <c r="G97" s="4"/>
      <c r="H97" s="4">
        <v>143984807.88999999</v>
      </c>
      <c r="I97" s="4">
        <v>143984807.88999999</v>
      </c>
      <c r="J97" s="4">
        <v>143984807.88999999</v>
      </c>
    </row>
    <row r="98" spans="1:11" ht="120" x14ac:dyDescent="0.25">
      <c r="A98" s="11" t="s">
        <v>207</v>
      </c>
      <c r="B98" s="2">
        <v>873</v>
      </c>
      <c r="C98" s="3" t="s">
        <v>13</v>
      </c>
      <c r="D98" s="3" t="s">
        <v>8</v>
      </c>
      <c r="E98" s="31" t="s">
        <v>175</v>
      </c>
      <c r="F98" s="3" t="s">
        <v>48</v>
      </c>
      <c r="G98" s="4"/>
      <c r="H98" s="4">
        <v>26074048.43</v>
      </c>
      <c r="I98" s="4">
        <v>26074048.43</v>
      </c>
      <c r="J98" s="4">
        <v>26074048.43</v>
      </c>
    </row>
    <row r="99" spans="1:11" ht="120" x14ac:dyDescent="0.25">
      <c r="A99" s="11" t="s">
        <v>208</v>
      </c>
      <c r="B99" s="2">
        <v>873</v>
      </c>
      <c r="C99" s="3" t="s">
        <v>13</v>
      </c>
      <c r="D99" s="3" t="s">
        <v>8</v>
      </c>
      <c r="E99" s="31" t="s">
        <v>176</v>
      </c>
      <c r="F99" s="3" t="s">
        <v>48</v>
      </c>
      <c r="G99" s="4"/>
      <c r="H99" s="4">
        <v>57484307.469999999</v>
      </c>
      <c r="I99" s="4">
        <v>57484307.469999999</v>
      </c>
      <c r="J99" s="4">
        <v>57484307.469999999</v>
      </c>
    </row>
    <row r="100" spans="1:11" ht="360" x14ac:dyDescent="0.25">
      <c r="A100" s="10" t="s">
        <v>147</v>
      </c>
      <c r="B100" s="2">
        <v>873</v>
      </c>
      <c r="C100" s="3" t="s">
        <v>13</v>
      </c>
      <c r="D100" s="3" t="s">
        <v>8</v>
      </c>
      <c r="E100" s="3" t="s">
        <v>137</v>
      </c>
      <c r="F100" s="3" t="s">
        <v>48</v>
      </c>
      <c r="G100" s="4">
        <v>146971200</v>
      </c>
      <c r="H100" s="4">
        <v>13124200</v>
      </c>
      <c r="I100" s="4">
        <v>13124200</v>
      </c>
      <c r="J100" s="4">
        <v>13124200</v>
      </c>
    </row>
    <row r="101" spans="1:11" ht="60" x14ac:dyDescent="0.25">
      <c r="A101" s="10" t="s">
        <v>39</v>
      </c>
      <c r="B101" s="2">
        <v>873</v>
      </c>
      <c r="C101" s="3" t="s">
        <v>13</v>
      </c>
      <c r="D101" s="3" t="s">
        <v>8</v>
      </c>
      <c r="E101" s="3" t="s">
        <v>132</v>
      </c>
      <c r="F101" s="3" t="s">
        <v>49</v>
      </c>
      <c r="G101" s="4">
        <v>1466700</v>
      </c>
      <c r="H101" s="4">
        <v>1621400</v>
      </c>
      <c r="I101" s="4">
        <v>1585300</v>
      </c>
      <c r="J101" s="4">
        <v>1585300</v>
      </c>
    </row>
    <row r="102" spans="1:11" ht="120" x14ac:dyDescent="0.25">
      <c r="A102" s="10" t="s">
        <v>77</v>
      </c>
      <c r="B102" s="2">
        <v>873</v>
      </c>
      <c r="C102" s="3" t="s">
        <v>13</v>
      </c>
      <c r="D102" s="3" t="s">
        <v>8</v>
      </c>
      <c r="E102" s="3" t="s">
        <v>24</v>
      </c>
      <c r="F102" s="3"/>
      <c r="G102" s="4">
        <f t="shared" ref="G102" si="38">G104+G105</f>
        <v>53046809.549999997</v>
      </c>
      <c r="H102" s="37">
        <f>H104+H105+H106</f>
        <v>86255877.969999999</v>
      </c>
      <c r="I102" s="4">
        <f t="shared" ref="I102:J102" si="39">I104+I105+I106</f>
        <v>74247500</v>
      </c>
      <c r="J102" s="4">
        <f t="shared" si="39"/>
        <v>74247500</v>
      </c>
    </row>
    <row r="103" spans="1:11" ht="60" x14ac:dyDescent="0.25">
      <c r="A103" s="10" t="s">
        <v>262</v>
      </c>
      <c r="B103" s="2">
        <v>873</v>
      </c>
      <c r="C103" s="3" t="s">
        <v>13</v>
      </c>
      <c r="D103" s="3" t="s">
        <v>8</v>
      </c>
      <c r="E103" s="3" t="s">
        <v>261</v>
      </c>
      <c r="F103" s="3" t="s">
        <v>48</v>
      </c>
      <c r="G103" s="4"/>
      <c r="H103" s="37">
        <v>31966</v>
      </c>
      <c r="I103" s="4">
        <v>0</v>
      </c>
      <c r="J103" s="4">
        <v>0</v>
      </c>
    </row>
    <row r="104" spans="1:11" ht="60" x14ac:dyDescent="0.25">
      <c r="A104" s="10" t="s">
        <v>67</v>
      </c>
      <c r="B104" s="2">
        <v>873</v>
      </c>
      <c r="C104" s="3" t="s">
        <v>13</v>
      </c>
      <c r="D104" s="3" t="s">
        <v>8</v>
      </c>
      <c r="E104" s="3" t="s">
        <v>24</v>
      </c>
      <c r="F104" s="3" t="s">
        <v>49</v>
      </c>
      <c r="G104" s="4">
        <f>46146809.55+5000000+1500000</f>
        <v>52646809.549999997</v>
      </c>
      <c r="H104" s="4">
        <f>61641636.75+4923687.47</f>
        <v>66565324.219999999</v>
      </c>
      <c r="I104" s="4">
        <v>57843788</v>
      </c>
      <c r="J104" s="4">
        <v>57843788</v>
      </c>
    </row>
    <row r="105" spans="1:11" ht="30" x14ac:dyDescent="0.25">
      <c r="A105" s="10" t="s">
        <v>59</v>
      </c>
      <c r="B105" s="2">
        <v>873</v>
      </c>
      <c r="C105" s="3" t="s">
        <v>13</v>
      </c>
      <c r="D105" s="3" t="s">
        <v>8</v>
      </c>
      <c r="E105" s="3" t="s">
        <v>24</v>
      </c>
      <c r="F105" s="3" t="s">
        <v>50</v>
      </c>
      <c r="G105" s="4">
        <v>400000</v>
      </c>
      <c r="H105" s="4">
        <f>6363250+2812180.75</f>
        <v>9175430.75</v>
      </c>
      <c r="I105" s="4">
        <v>6363250</v>
      </c>
      <c r="J105" s="4">
        <v>6363250</v>
      </c>
    </row>
    <row r="106" spans="1:11" ht="75" x14ac:dyDescent="0.25">
      <c r="A106" s="10" t="s">
        <v>198</v>
      </c>
      <c r="B106" s="2">
        <v>873</v>
      </c>
      <c r="C106" s="3" t="s">
        <v>13</v>
      </c>
      <c r="D106" s="3" t="s">
        <v>8</v>
      </c>
      <c r="E106" s="3" t="s">
        <v>177</v>
      </c>
      <c r="F106" s="3" t="s">
        <v>49</v>
      </c>
      <c r="G106" s="4"/>
      <c r="H106" s="4">
        <v>10515123</v>
      </c>
      <c r="I106" s="4">
        <v>10040462</v>
      </c>
      <c r="J106" s="4">
        <v>10040462</v>
      </c>
    </row>
    <row r="107" spans="1:11" ht="79.5" customHeight="1" x14ac:dyDescent="0.25">
      <c r="A107" s="10" t="s">
        <v>226</v>
      </c>
      <c r="B107" s="2">
        <v>873</v>
      </c>
      <c r="C107" s="3" t="s">
        <v>13</v>
      </c>
      <c r="D107" s="3" t="s">
        <v>8</v>
      </c>
      <c r="E107" s="3" t="s">
        <v>218</v>
      </c>
      <c r="F107" s="3" t="s">
        <v>49</v>
      </c>
      <c r="G107" s="4"/>
      <c r="H107" s="4">
        <v>0</v>
      </c>
      <c r="I107" s="4">
        <v>43991616.159999996</v>
      </c>
      <c r="J107" s="4">
        <v>0</v>
      </c>
    </row>
    <row r="108" spans="1:11" x14ac:dyDescent="0.25">
      <c r="A108" s="25" t="s">
        <v>79</v>
      </c>
      <c r="B108" s="22">
        <v>873</v>
      </c>
      <c r="C108" s="23" t="s">
        <v>13</v>
      </c>
      <c r="D108" s="23" t="s">
        <v>14</v>
      </c>
      <c r="E108" s="23"/>
      <c r="F108" s="23"/>
      <c r="G108" s="5" t="e">
        <f>G109+G117+#REF!+#REF!+G122+G123</f>
        <v>#REF!</v>
      </c>
      <c r="H108" s="5">
        <f>H109+H116+H117+H122+H123+H124+H125+H126</f>
        <v>875886804.80999994</v>
      </c>
      <c r="I108" s="5">
        <f t="shared" ref="I108:J108" si="40">I109+I116+I117+I122+I123+I124+I125+I126</f>
        <v>947162930.1099999</v>
      </c>
      <c r="J108" s="5">
        <f t="shared" si="40"/>
        <v>842728407.96999991</v>
      </c>
      <c r="K108" s="14"/>
    </row>
    <row r="109" spans="1:11" ht="135" customHeight="1" x14ac:dyDescent="0.25">
      <c r="A109" s="10" t="s">
        <v>78</v>
      </c>
      <c r="B109" s="2">
        <v>873</v>
      </c>
      <c r="C109" s="3" t="s">
        <v>13</v>
      </c>
      <c r="D109" s="3" t="s">
        <v>14</v>
      </c>
      <c r="E109" s="3" t="s">
        <v>141</v>
      </c>
      <c r="F109" s="3"/>
      <c r="G109" s="4" t="e">
        <f>#REF!</f>
        <v>#REF!</v>
      </c>
      <c r="H109" s="4">
        <f>H110+H111+H112+H113+H114+H115</f>
        <v>600622780.43999994</v>
      </c>
      <c r="I109" s="4">
        <f t="shared" ref="I109:J109" si="41">I110+I111+I112+I113+I114+I115</f>
        <v>600622780.43999994</v>
      </c>
      <c r="J109" s="4">
        <f t="shared" si="41"/>
        <v>600622780.43999994</v>
      </c>
      <c r="K109" s="14"/>
    </row>
    <row r="110" spans="1:11" ht="135" x14ac:dyDescent="0.25">
      <c r="A110" s="10" t="s">
        <v>205</v>
      </c>
      <c r="B110" s="2">
        <v>873</v>
      </c>
      <c r="C110" s="3" t="s">
        <v>13</v>
      </c>
      <c r="D110" s="3" t="s">
        <v>14</v>
      </c>
      <c r="E110" s="3" t="s">
        <v>172</v>
      </c>
      <c r="F110" s="3" t="s">
        <v>48</v>
      </c>
      <c r="G110" s="4"/>
      <c r="H110" s="4">
        <v>87619957.120000005</v>
      </c>
      <c r="I110" s="4">
        <v>87619957.120000005</v>
      </c>
      <c r="J110" s="4">
        <v>87619957.120000005</v>
      </c>
      <c r="K110" s="14"/>
    </row>
    <row r="111" spans="1:11" ht="210" x14ac:dyDescent="0.25">
      <c r="A111" s="10" t="s">
        <v>206</v>
      </c>
      <c r="B111" s="2">
        <v>873</v>
      </c>
      <c r="C111" s="3" t="s">
        <v>13</v>
      </c>
      <c r="D111" s="3" t="s">
        <v>14</v>
      </c>
      <c r="E111" s="3" t="s">
        <v>173</v>
      </c>
      <c r="F111" s="3" t="s">
        <v>48</v>
      </c>
      <c r="G111" s="4"/>
      <c r="H111" s="4">
        <v>23495233.550000001</v>
      </c>
      <c r="I111" s="4">
        <v>23495233.550000001</v>
      </c>
      <c r="J111" s="4">
        <v>23495233.550000001</v>
      </c>
      <c r="K111" s="14"/>
    </row>
    <row r="112" spans="1:11" ht="105" x14ac:dyDescent="0.25">
      <c r="A112" s="10" t="s">
        <v>140</v>
      </c>
      <c r="B112" s="2">
        <v>873</v>
      </c>
      <c r="C112" s="3" t="s">
        <v>13</v>
      </c>
      <c r="D112" s="3" t="s">
        <v>14</v>
      </c>
      <c r="E112" s="3" t="s">
        <v>174</v>
      </c>
      <c r="F112" s="3" t="s">
        <v>48</v>
      </c>
      <c r="G112" s="4"/>
      <c r="H112" s="4">
        <v>381428233.12</v>
      </c>
      <c r="I112" s="4">
        <v>381428233.12</v>
      </c>
      <c r="J112" s="4">
        <v>381428233.12</v>
      </c>
      <c r="K112" s="14"/>
    </row>
    <row r="113" spans="1:11" ht="120" x14ac:dyDescent="0.25">
      <c r="A113" s="10" t="s">
        <v>207</v>
      </c>
      <c r="B113" s="2">
        <v>873</v>
      </c>
      <c r="C113" s="3" t="s">
        <v>13</v>
      </c>
      <c r="D113" s="3" t="s">
        <v>14</v>
      </c>
      <c r="E113" s="3" t="s">
        <v>175</v>
      </c>
      <c r="F113" s="3" t="s">
        <v>48</v>
      </c>
      <c r="G113" s="4"/>
      <c r="H113" s="4">
        <v>24494729.27</v>
      </c>
      <c r="I113" s="4">
        <v>24494729.27</v>
      </c>
      <c r="J113" s="4">
        <v>24494729.27</v>
      </c>
      <c r="K113" s="14"/>
    </row>
    <row r="114" spans="1:11" ht="120" x14ac:dyDescent="0.25">
      <c r="A114" s="10" t="s">
        <v>208</v>
      </c>
      <c r="B114" s="2">
        <v>873</v>
      </c>
      <c r="C114" s="3" t="s">
        <v>13</v>
      </c>
      <c r="D114" s="3" t="s">
        <v>14</v>
      </c>
      <c r="E114" s="3" t="s">
        <v>176</v>
      </c>
      <c r="F114" s="3" t="s">
        <v>48</v>
      </c>
      <c r="G114" s="4"/>
      <c r="H114" s="4">
        <v>77424236.200000003</v>
      </c>
      <c r="I114" s="4">
        <v>77424236.200000003</v>
      </c>
      <c r="J114" s="4">
        <v>77424236.200000003</v>
      </c>
      <c r="K114" s="14"/>
    </row>
    <row r="115" spans="1:11" ht="255" x14ac:dyDescent="0.25">
      <c r="A115" s="10" t="s">
        <v>209</v>
      </c>
      <c r="B115" s="2">
        <v>873</v>
      </c>
      <c r="C115" s="3" t="s">
        <v>13</v>
      </c>
      <c r="D115" s="3" t="s">
        <v>14</v>
      </c>
      <c r="E115" s="3" t="s">
        <v>178</v>
      </c>
      <c r="F115" s="3" t="s">
        <v>48</v>
      </c>
      <c r="G115" s="4"/>
      <c r="H115" s="4">
        <v>6160391.1799999997</v>
      </c>
      <c r="I115" s="4">
        <v>6160391.1799999997</v>
      </c>
      <c r="J115" s="4">
        <v>6160391.1799999997</v>
      </c>
      <c r="K115" s="14"/>
    </row>
    <row r="116" spans="1:11" ht="360" x14ac:dyDescent="0.25">
      <c r="A116" s="10" t="s">
        <v>147</v>
      </c>
      <c r="B116" s="2">
        <v>873</v>
      </c>
      <c r="C116" s="3" t="s">
        <v>13</v>
      </c>
      <c r="D116" s="3" t="s">
        <v>14</v>
      </c>
      <c r="E116" s="3" t="s">
        <v>137</v>
      </c>
      <c r="F116" s="3" t="s">
        <v>48</v>
      </c>
      <c r="G116" s="4"/>
      <c r="H116" s="4">
        <v>26951400</v>
      </c>
      <c r="I116" s="4">
        <v>26951400</v>
      </c>
      <c r="J116" s="4">
        <v>26951400</v>
      </c>
    </row>
    <row r="117" spans="1:11" ht="120" x14ac:dyDescent="0.25">
      <c r="A117" s="10" t="s">
        <v>77</v>
      </c>
      <c r="B117" s="2">
        <v>873</v>
      </c>
      <c r="C117" s="3" t="s">
        <v>13</v>
      </c>
      <c r="D117" s="3" t="s">
        <v>14</v>
      </c>
      <c r="E117" s="3" t="s">
        <v>24</v>
      </c>
      <c r="F117" s="3"/>
      <c r="G117" s="4">
        <f>G119+G120</f>
        <v>52187945.170000002</v>
      </c>
      <c r="H117" s="4">
        <f>H119+H120+H121+H118</f>
        <v>80635376.590000004</v>
      </c>
      <c r="I117" s="4">
        <f t="shared" ref="I117:J117" si="42">I119+I120+I121</f>
        <v>83000000</v>
      </c>
      <c r="J117" s="4">
        <f t="shared" si="42"/>
        <v>83000000</v>
      </c>
      <c r="K117" s="14"/>
    </row>
    <row r="118" spans="1:11" ht="60" x14ac:dyDescent="0.25">
      <c r="A118" s="10" t="s">
        <v>262</v>
      </c>
      <c r="B118" s="2">
        <v>873</v>
      </c>
      <c r="C118" s="3" t="s">
        <v>13</v>
      </c>
      <c r="D118" s="3" t="s">
        <v>14</v>
      </c>
      <c r="E118" s="3" t="s">
        <v>24</v>
      </c>
      <c r="F118" s="3" t="s">
        <v>48</v>
      </c>
      <c r="G118" s="4"/>
      <c r="H118" s="4">
        <v>153600</v>
      </c>
      <c r="I118" s="4">
        <v>0</v>
      </c>
      <c r="J118" s="4">
        <v>0</v>
      </c>
      <c r="K118" s="14"/>
    </row>
    <row r="119" spans="1:11" ht="60" x14ac:dyDescent="0.25">
      <c r="A119" s="10" t="s">
        <v>67</v>
      </c>
      <c r="B119" s="2">
        <v>873</v>
      </c>
      <c r="C119" s="3" t="s">
        <v>13</v>
      </c>
      <c r="D119" s="3" t="s">
        <v>14</v>
      </c>
      <c r="E119" s="3" t="s">
        <v>24</v>
      </c>
      <c r="F119" s="3" t="s">
        <v>49</v>
      </c>
      <c r="G119" s="4">
        <f>45467945.17+500000</f>
        <v>45967945.170000002</v>
      </c>
      <c r="H119" s="4">
        <f>23228317.24+288459.35</f>
        <v>23516776.59</v>
      </c>
      <c r="I119" s="4">
        <v>28100000</v>
      </c>
      <c r="J119" s="4">
        <v>28100000</v>
      </c>
    </row>
    <row r="120" spans="1:11" ht="60" x14ac:dyDescent="0.25">
      <c r="A120" s="10" t="s">
        <v>38</v>
      </c>
      <c r="B120" s="2">
        <v>873</v>
      </c>
      <c r="C120" s="3" t="s">
        <v>13</v>
      </c>
      <c r="D120" s="3" t="s">
        <v>14</v>
      </c>
      <c r="E120" s="3" t="s">
        <v>24</v>
      </c>
      <c r="F120" s="3" t="s">
        <v>50</v>
      </c>
      <c r="G120" s="4">
        <v>6220000</v>
      </c>
      <c r="H120" s="4">
        <f>23700000</f>
        <v>23700000</v>
      </c>
      <c r="I120" s="4">
        <v>23700000</v>
      </c>
      <c r="J120" s="4">
        <v>23700000</v>
      </c>
    </row>
    <row r="121" spans="1:11" ht="75" x14ac:dyDescent="0.25">
      <c r="A121" s="10" t="s">
        <v>198</v>
      </c>
      <c r="B121" s="2">
        <v>873</v>
      </c>
      <c r="C121" s="3" t="s">
        <v>13</v>
      </c>
      <c r="D121" s="3" t="s">
        <v>14</v>
      </c>
      <c r="E121" s="3" t="s">
        <v>177</v>
      </c>
      <c r="F121" s="3" t="s">
        <v>49</v>
      </c>
      <c r="G121" s="4"/>
      <c r="H121" s="4">
        <v>33265000</v>
      </c>
      <c r="I121" s="4">
        <v>31200000</v>
      </c>
      <c r="J121" s="4">
        <v>31200000</v>
      </c>
    </row>
    <row r="122" spans="1:11" ht="135" x14ac:dyDescent="0.25">
      <c r="A122" s="10" t="s">
        <v>120</v>
      </c>
      <c r="B122" s="2">
        <v>873</v>
      </c>
      <c r="C122" s="3" t="s">
        <v>13</v>
      </c>
      <c r="D122" s="3" t="s">
        <v>14</v>
      </c>
      <c r="E122" s="3" t="s">
        <v>179</v>
      </c>
      <c r="F122" s="3" t="s">
        <v>48</v>
      </c>
      <c r="G122" s="4">
        <v>27732600</v>
      </c>
      <c r="H122" s="4">
        <v>68433120</v>
      </c>
      <c r="I122" s="4">
        <v>68433120</v>
      </c>
      <c r="J122" s="4">
        <v>68433120</v>
      </c>
    </row>
    <row r="123" spans="1:11" ht="120" x14ac:dyDescent="0.25">
      <c r="A123" s="10" t="s">
        <v>121</v>
      </c>
      <c r="B123" s="2">
        <v>873</v>
      </c>
      <c r="C123" s="3" t="s">
        <v>13</v>
      </c>
      <c r="D123" s="3" t="s">
        <v>14</v>
      </c>
      <c r="E123" s="3" t="s">
        <v>180</v>
      </c>
      <c r="F123" s="3" t="s">
        <v>49</v>
      </c>
      <c r="G123" s="4">
        <v>43883236.560000002</v>
      </c>
      <c r="H123" s="4">
        <v>57606556.729999997</v>
      </c>
      <c r="I123" s="4">
        <v>53640556.509999998</v>
      </c>
      <c r="J123" s="4">
        <v>52904157.530000001</v>
      </c>
      <c r="K123" s="14"/>
    </row>
    <row r="124" spans="1:11" ht="60" x14ac:dyDescent="0.25">
      <c r="A124" s="10" t="s">
        <v>67</v>
      </c>
      <c r="B124" s="2">
        <v>873</v>
      </c>
      <c r="C124" s="3" t="s">
        <v>13</v>
      </c>
      <c r="D124" s="3" t="s">
        <v>14</v>
      </c>
      <c r="E124" s="3" t="s">
        <v>23</v>
      </c>
      <c r="F124" s="3" t="s">
        <v>49</v>
      </c>
      <c r="G124" s="4">
        <f>4374100+2030800</f>
        <v>6404900</v>
      </c>
      <c r="H124" s="4">
        <v>30442700</v>
      </c>
      <c r="I124" s="4">
        <v>10500000</v>
      </c>
      <c r="J124" s="4">
        <v>10500000</v>
      </c>
    </row>
    <row r="125" spans="1:11" ht="60" x14ac:dyDescent="0.25">
      <c r="A125" s="10" t="s">
        <v>134</v>
      </c>
      <c r="B125" s="2">
        <v>873</v>
      </c>
      <c r="C125" s="3" t="s">
        <v>13</v>
      </c>
      <c r="D125" s="3" t="s">
        <v>14</v>
      </c>
      <c r="E125" s="3" t="s">
        <v>219</v>
      </c>
      <c r="F125" s="3" t="s">
        <v>49</v>
      </c>
      <c r="G125" s="4"/>
      <c r="H125" s="4">
        <f>14461175.79-3583254.74</f>
        <v>10877921.049999999</v>
      </c>
      <c r="I125" s="4">
        <v>103698123.16</v>
      </c>
      <c r="J125" s="4">
        <v>0</v>
      </c>
    </row>
    <row r="126" spans="1:11" ht="30" x14ac:dyDescent="0.25">
      <c r="A126" s="10" t="s">
        <v>216</v>
      </c>
      <c r="B126" s="2">
        <v>873</v>
      </c>
      <c r="C126" s="3" t="s">
        <v>13</v>
      </c>
      <c r="D126" s="3" t="s">
        <v>14</v>
      </c>
      <c r="E126" s="3" t="s">
        <v>217</v>
      </c>
      <c r="F126" s="3" t="s">
        <v>49</v>
      </c>
      <c r="G126" s="4"/>
      <c r="H126" s="4">
        <v>316950</v>
      </c>
      <c r="I126" s="4">
        <v>316950</v>
      </c>
      <c r="J126" s="4">
        <v>316950</v>
      </c>
    </row>
    <row r="127" spans="1:11" ht="29.25" x14ac:dyDescent="0.25">
      <c r="A127" s="25" t="s">
        <v>65</v>
      </c>
      <c r="B127" s="22">
        <v>873</v>
      </c>
      <c r="C127" s="23" t="s">
        <v>13</v>
      </c>
      <c r="D127" s="23" t="s">
        <v>9</v>
      </c>
      <c r="E127" s="23"/>
      <c r="F127" s="23"/>
      <c r="G127" s="5">
        <f t="shared" ref="G127" si="43">G128+G130</f>
        <v>34910004</v>
      </c>
      <c r="H127" s="5">
        <f>H128+H130+H135+H133</f>
        <v>58466544.079999998</v>
      </c>
      <c r="I127" s="5">
        <f t="shared" ref="I127:J127" si="44">I128+I130+I135+I133</f>
        <v>58466544.079999998</v>
      </c>
      <c r="J127" s="5">
        <f t="shared" si="44"/>
        <v>58466544.079999998</v>
      </c>
      <c r="K127" s="14"/>
    </row>
    <row r="128" spans="1:11" ht="105" x14ac:dyDescent="0.25">
      <c r="A128" s="10" t="s">
        <v>140</v>
      </c>
      <c r="B128" s="2">
        <v>873</v>
      </c>
      <c r="C128" s="3" t="s">
        <v>13</v>
      </c>
      <c r="D128" s="3" t="s">
        <v>9</v>
      </c>
      <c r="E128" s="3" t="s">
        <v>142</v>
      </c>
      <c r="F128" s="3"/>
      <c r="G128" s="4">
        <f t="shared" ref="G128" si="45">G129</f>
        <v>19509200</v>
      </c>
      <c r="H128" s="4">
        <v>32884500.079999998</v>
      </c>
      <c r="I128" s="4">
        <v>32884500.079999998</v>
      </c>
      <c r="J128" s="4">
        <v>32884500.079999998</v>
      </c>
    </row>
    <row r="129" spans="1:11" ht="105" x14ac:dyDescent="0.25">
      <c r="A129" s="10" t="s">
        <v>140</v>
      </c>
      <c r="B129" s="2">
        <v>873</v>
      </c>
      <c r="C129" s="3" t="s">
        <v>13</v>
      </c>
      <c r="D129" s="3" t="s">
        <v>9</v>
      </c>
      <c r="E129" s="3" t="s">
        <v>142</v>
      </c>
      <c r="F129" s="3" t="s">
        <v>48</v>
      </c>
      <c r="G129" s="4">
        <v>19509200</v>
      </c>
      <c r="H129" s="4">
        <v>32884500.079999998</v>
      </c>
      <c r="I129" s="4">
        <v>32884500.079999998</v>
      </c>
      <c r="J129" s="4">
        <v>32884500.079999998</v>
      </c>
    </row>
    <row r="130" spans="1:11" ht="135" x14ac:dyDescent="0.25">
      <c r="A130" s="10" t="s">
        <v>66</v>
      </c>
      <c r="B130" s="2">
        <v>873</v>
      </c>
      <c r="C130" s="3" t="s">
        <v>13</v>
      </c>
      <c r="D130" s="3" t="s">
        <v>9</v>
      </c>
      <c r="E130" s="3" t="s">
        <v>25</v>
      </c>
      <c r="F130" s="3"/>
      <c r="G130" s="4">
        <f t="shared" ref="G130" si="46">G131+G132+G134</f>
        <v>15400804</v>
      </c>
      <c r="H130" s="4">
        <f>H131+H132+H134</f>
        <v>23986744</v>
      </c>
      <c r="I130" s="4">
        <f t="shared" ref="I130:J130" si="47">I131+I132+I134</f>
        <v>24102744</v>
      </c>
      <c r="J130" s="4">
        <f t="shared" si="47"/>
        <v>24102744</v>
      </c>
      <c r="K130" s="14"/>
    </row>
    <row r="131" spans="1:11" ht="165" x14ac:dyDescent="0.25">
      <c r="A131" s="10" t="s">
        <v>57</v>
      </c>
      <c r="B131" s="2">
        <v>873</v>
      </c>
      <c r="C131" s="3" t="s">
        <v>13</v>
      </c>
      <c r="D131" s="3" t="s">
        <v>9</v>
      </c>
      <c r="E131" s="3" t="s">
        <v>25</v>
      </c>
      <c r="F131" s="3" t="s">
        <v>48</v>
      </c>
      <c r="G131" s="4">
        <v>14181304</v>
      </c>
      <c r="H131" s="4">
        <v>21526564</v>
      </c>
      <c r="I131" s="4">
        <v>21526564</v>
      </c>
      <c r="J131" s="4">
        <v>21526564</v>
      </c>
    </row>
    <row r="132" spans="1:11" ht="60" x14ac:dyDescent="0.25">
      <c r="A132" s="10" t="s">
        <v>67</v>
      </c>
      <c r="B132" s="2">
        <v>873</v>
      </c>
      <c r="C132" s="3" t="s">
        <v>13</v>
      </c>
      <c r="D132" s="3" t="s">
        <v>9</v>
      </c>
      <c r="E132" s="3" t="s">
        <v>25</v>
      </c>
      <c r="F132" s="3" t="s">
        <v>49</v>
      </c>
      <c r="G132" s="4">
        <f>433000+603000+143500</f>
        <v>1179500</v>
      </c>
      <c r="H132" s="4">
        <v>2416245</v>
      </c>
      <c r="I132" s="4">
        <v>2532245</v>
      </c>
      <c r="J132" s="4">
        <v>2532245</v>
      </c>
    </row>
    <row r="133" spans="1:11" ht="75" x14ac:dyDescent="0.25">
      <c r="A133" s="10" t="s">
        <v>198</v>
      </c>
      <c r="B133" s="2">
        <v>873</v>
      </c>
      <c r="C133" s="3" t="s">
        <v>13</v>
      </c>
      <c r="D133" s="3" t="s">
        <v>9</v>
      </c>
      <c r="E133" s="3" t="s">
        <v>184</v>
      </c>
      <c r="F133" s="3" t="s">
        <v>49</v>
      </c>
      <c r="G133" s="4"/>
      <c r="H133" s="4">
        <v>236000</v>
      </c>
      <c r="I133" s="4">
        <v>120000</v>
      </c>
      <c r="J133" s="4">
        <v>120000</v>
      </c>
    </row>
    <row r="134" spans="1:11" ht="30" x14ac:dyDescent="0.25">
      <c r="A134" s="10" t="s">
        <v>59</v>
      </c>
      <c r="B134" s="2">
        <v>873</v>
      </c>
      <c r="C134" s="3" t="s">
        <v>13</v>
      </c>
      <c r="D134" s="3" t="s">
        <v>9</v>
      </c>
      <c r="E134" s="3" t="s">
        <v>25</v>
      </c>
      <c r="F134" s="3" t="s">
        <v>50</v>
      </c>
      <c r="G134" s="4">
        <f>20000+15000+5000</f>
        <v>40000</v>
      </c>
      <c r="H134" s="4">
        <v>43935</v>
      </c>
      <c r="I134" s="4">
        <v>43935</v>
      </c>
      <c r="J134" s="4">
        <v>43935</v>
      </c>
    </row>
    <row r="135" spans="1:11" ht="150" customHeight="1" x14ac:dyDescent="0.25">
      <c r="A135" s="10" t="s">
        <v>147</v>
      </c>
      <c r="B135" s="2">
        <v>873</v>
      </c>
      <c r="C135" s="3" t="s">
        <v>13</v>
      </c>
      <c r="D135" s="3" t="s">
        <v>9</v>
      </c>
      <c r="E135" s="3" t="s">
        <v>148</v>
      </c>
      <c r="F135" s="3" t="s">
        <v>48</v>
      </c>
      <c r="G135" s="4"/>
      <c r="H135" s="4">
        <v>1359300</v>
      </c>
      <c r="I135" s="4">
        <v>1359300</v>
      </c>
      <c r="J135" s="4">
        <v>1359300</v>
      </c>
    </row>
    <row r="136" spans="1:11" ht="165" x14ac:dyDescent="0.25">
      <c r="A136" s="10" t="s">
        <v>80</v>
      </c>
      <c r="B136" s="2">
        <v>873</v>
      </c>
      <c r="C136" s="3" t="s">
        <v>13</v>
      </c>
      <c r="D136" s="3" t="s">
        <v>11</v>
      </c>
      <c r="E136" s="3" t="s">
        <v>118</v>
      </c>
      <c r="F136" s="3"/>
      <c r="G136" s="4">
        <f t="shared" ref="G136:J136" si="48">G137</f>
        <v>810300</v>
      </c>
      <c r="H136" s="4">
        <f>H137</f>
        <v>991500</v>
      </c>
      <c r="I136" s="4">
        <f t="shared" si="48"/>
        <v>991500</v>
      </c>
      <c r="J136" s="4">
        <f t="shared" si="48"/>
        <v>991500</v>
      </c>
      <c r="K136" s="14"/>
    </row>
    <row r="137" spans="1:11" ht="60" x14ac:dyDescent="0.25">
      <c r="A137" s="10" t="s">
        <v>67</v>
      </c>
      <c r="B137" s="2">
        <v>873</v>
      </c>
      <c r="C137" s="3" t="s">
        <v>13</v>
      </c>
      <c r="D137" s="3" t="s">
        <v>11</v>
      </c>
      <c r="E137" s="3" t="s">
        <v>118</v>
      </c>
      <c r="F137" s="3" t="s">
        <v>49</v>
      </c>
      <c r="G137" s="4">
        <v>810300</v>
      </c>
      <c r="H137" s="4">
        <v>991500</v>
      </c>
      <c r="I137" s="4">
        <v>991500</v>
      </c>
      <c r="J137" s="4">
        <v>991500</v>
      </c>
    </row>
    <row r="138" spans="1:11" ht="30" x14ac:dyDescent="0.25">
      <c r="A138" s="10" t="s">
        <v>86</v>
      </c>
      <c r="B138" s="22">
        <v>873</v>
      </c>
      <c r="C138" s="23" t="s">
        <v>13</v>
      </c>
      <c r="D138" s="23" t="s">
        <v>13</v>
      </c>
      <c r="E138" s="23"/>
      <c r="F138" s="23"/>
      <c r="G138" s="5" t="e">
        <f>G139+#REF!+#REF!+G142</f>
        <v>#REF!</v>
      </c>
      <c r="H138" s="4">
        <f>H139+H140</f>
        <v>8780000</v>
      </c>
      <c r="I138" s="4">
        <f t="shared" ref="I138:J138" si="49">I139+I140</f>
        <v>11280000</v>
      </c>
      <c r="J138" s="4">
        <f t="shared" si="49"/>
        <v>11730000</v>
      </c>
      <c r="K138" s="14"/>
    </row>
    <row r="139" spans="1:11" ht="60" x14ac:dyDescent="0.25">
      <c r="A139" s="10" t="s">
        <v>123</v>
      </c>
      <c r="B139" s="2">
        <v>873</v>
      </c>
      <c r="C139" s="3" t="s">
        <v>13</v>
      </c>
      <c r="D139" s="3" t="s">
        <v>13</v>
      </c>
      <c r="E139" s="3" t="s">
        <v>233</v>
      </c>
      <c r="F139" s="3"/>
      <c r="G139" s="4">
        <f t="shared" ref="G139" si="50">G140</f>
        <v>1655000</v>
      </c>
      <c r="H139" s="4">
        <v>80000</v>
      </c>
      <c r="I139" s="4">
        <v>80000</v>
      </c>
      <c r="J139" s="4">
        <v>80000</v>
      </c>
    </row>
    <row r="140" spans="1:11" ht="60" x14ac:dyDescent="0.25">
      <c r="A140" s="10" t="s">
        <v>67</v>
      </c>
      <c r="B140" s="2">
        <v>873</v>
      </c>
      <c r="C140" s="3" t="s">
        <v>13</v>
      </c>
      <c r="D140" s="3" t="s">
        <v>13</v>
      </c>
      <c r="E140" s="3" t="s">
        <v>181</v>
      </c>
      <c r="F140" s="3" t="s">
        <v>49</v>
      </c>
      <c r="G140" s="4">
        <v>1655000</v>
      </c>
      <c r="H140" s="4">
        <f>10400000-1700000</f>
        <v>8700000</v>
      </c>
      <c r="I140" s="4">
        <v>11200000</v>
      </c>
      <c r="J140" s="4">
        <v>11650000</v>
      </c>
    </row>
    <row r="141" spans="1:11" ht="29.25" x14ac:dyDescent="0.25">
      <c r="A141" s="25" t="s">
        <v>82</v>
      </c>
      <c r="B141" s="22">
        <v>873</v>
      </c>
      <c r="C141" s="23" t="s">
        <v>13</v>
      </c>
      <c r="D141" s="23" t="s">
        <v>15</v>
      </c>
      <c r="E141" s="23"/>
      <c r="F141" s="23"/>
      <c r="G141" s="5"/>
      <c r="H141" s="4">
        <f>H142+H146+H148+H149+H150+H151+H152+H154+H145+H153+H144</f>
        <v>38783235.399999999</v>
      </c>
      <c r="I141" s="4">
        <f t="shared" ref="I141:J141" si="51">I142+I146+I148+I149+I150+I151+I152+I154+I145+I153</f>
        <v>36445358.490000002</v>
      </c>
      <c r="J141" s="4">
        <f t="shared" si="51"/>
        <v>36524398.890000001</v>
      </c>
      <c r="K141" s="14"/>
    </row>
    <row r="142" spans="1:11" ht="90" x14ac:dyDescent="0.25">
      <c r="A142" s="10" t="s">
        <v>101</v>
      </c>
      <c r="B142" s="2">
        <v>873</v>
      </c>
      <c r="C142" s="3" t="s">
        <v>13</v>
      </c>
      <c r="D142" s="3" t="s">
        <v>15</v>
      </c>
      <c r="E142" s="3" t="s">
        <v>263</v>
      </c>
      <c r="F142" s="3"/>
      <c r="G142" s="4">
        <v>385648</v>
      </c>
      <c r="H142" s="4">
        <f>H143</f>
        <v>1085280</v>
      </c>
      <c r="I142" s="4">
        <f t="shared" ref="I142:J142" si="52">I143</f>
        <v>438000</v>
      </c>
      <c r="J142" s="4">
        <f t="shared" si="52"/>
        <v>438000</v>
      </c>
    </row>
    <row r="143" spans="1:11" ht="90" x14ac:dyDescent="0.25">
      <c r="A143" s="10" t="s">
        <v>101</v>
      </c>
      <c r="B143" s="2">
        <v>873</v>
      </c>
      <c r="C143" s="3" t="s">
        <v>13</v>
      </c>
      <c r="D143" s="3" t="s">
        <v>15</v>
      </c>
      <c r="E143" s="3" t="s">
        <v>263</v>
      </c>
      <c r="F143" s="3" t="s">
        <v>49</v>
      </c>
      <c r="G143" s="4">
        <v>385648</v>
      </c>
      <c r="H143" s="4">
        <v>1085280</v>
      </c>
      <c r="I143" s="4">
        <v>438000</v>
      </c>
      <c r="J143" s="4">
        <v>438000</v>
      </c>
    </row>
    <row r="144" spans="1:11" ht="90" x14ac:dyDescent="0.25">
      <c r="A144" s="10" t="s">
        <v>101</v>
      </c>
      <c r="B144" s="2">
        <v>873</v>
      </c>
      <c r="C144" s="3" t="s">
        <v>13</v>
      </c>
      <c r="D144" s="3" t="s">
        <v>15</v>
      </c>
      <c r="E144" s="3" t="s">
        <v>24</v>
      </c>
      <c r="F144" s="3" t="s">
        <v>49</v>
      </c>
      <c r="G144" s="4"/>
      <c r="H144" s="4">
        <v>54264</v>
      </c>
      <c r="I144" s="4"/>
      <c r="J144" s="4"/>
    </row>
    <row r="145" spans="1:11" ht="60" x14ac:dyDescent="0.25">
      <c r="A145" s="10" t="s">
        <v>234</v>
      </c>
      <c r="B145" s="2">
        <v>873</v>
      </c>
      <c r="C145" s="3" t="s">
        <v>8</v>
      </c>
      <c r="D145" s="3" t="s">
        <v>18</v>
      </c>
      <c r="E145" s="3" t="s">
        <v>100</v>
      </c>
      <c r="F145" s="3" t="s">
        <v>49</v>
      </c>
      <c r="G145" s="4"/>
      <c r="H145" s="4">
        <v>300000</v>
      </c>
      <c r="I145" s="4">
        <v>325000</v>
      </c>
      <c r="J145" s="4">
        <v>350000</v>
      </c>
      <c r="K145" s="14"/>
    </row>
    <row r="146" spans="1:11" ht="210" x14ac:dyDescent="0.25">
      <c r="A146" s="10" t="s">
        <v>81</v>
      </c>
      <c r="B146" s="2">
        <v>873</v>
      </c>
      <c r="C146" s="3" t="s">
        <v>13</v>
      </c>
      <c r="D146" s="3" t="s">
        <v>15</v>
      </c>
      <c r="E146" s="3" t="s">
        <v>41</v>
      </c>
      <c r="F146" s="3"/>
      <c r="G146" s="4">
        <v>100000</v>
      </c>
      <c r="H146" s="4">
        <f>H147</f>
        <v>100000</v>
      </c>
      <c r="I146" s="4">
        <f t="shared" ref="I146:J146" si="53">I147</f>
        <v>100000</v>
      </c>
      <c r="J146" s="4">
        <f t="shared" si="53"/>
        <v>100000</v>
      </c>
    </row>
    <row r="147" spans="1:11" ht="45" x14ac:dyDescent="0.25">
      <c r="A147" s="10" t="s">
        <v>74</v>
      </c>
      <c r="B147" s="2">
        <v>873</v>
      </c>
      <c r="C147" s="3" t="s">
        <v>13</v>
      </c>
      <c r="D147" s="3" t="s">
        <v>15</v>
      </c>
      <c r="E147" s="3" t="s">
        <v>41</v>
      </c>
      <c r="F147" s="3" t="s">
        <v>51</v>
      </c>
      <c r="G147" s="4">
        <v>100000</v>
      </c>
      <c r="H147" s="4">
        <v>100000</v>
      </c>
      <c r="I147" s="4">
        <v>100000</v>
      </c>
      <c r="J147" s="4">
        <v>100000</v>
      </c>
    </row>
    <row r="148" spans="1:11" ht="135" x14ac:dyDescent="0.25">
      <c r="A148" s="10" t="s">
        <v>149</v>
      </c>
      <c r="B148" s="2">
        <v>873</v>
      </c>
      <c r="C148" s="3" t="s">
        <v>13</v>
      </c>
      <c r="D148" s="3" t="s">
        <v>15</v>
      </c>
      <c r="E148" s="3" t="s">
        <v>220</v>
      </c>
      <c r="F148" s="3" t="s">
        <v>48</v>
      </c>
      <c r="G148" s="4"/>
      <c r="H148" s="4">
        <v>2942823.4</v>
      </c>
      <c r="I148" s="4">
        <v>2987471.49</v>
      </c>
      <c r="J148" s="4">
        <v>3041511.89</v>
      </c>
    </row>
    <row r="149" spans="1:11" ht="135" x14ac:dyDescent="0.25">
      <c r="A149" s="10" t="s">
        <v>149</v>
      </c>
      <c r="B149" s="2">
        <v>873</v>
      </c>
      <c r="C149" s="3" t="s">
        <v>13</v>
      </c>
      <c r="D149" s="3" t="s">
        <v>15</v>
      </c>
      <c r="E149" s="3" t="s">
        <v>221</v>
      </c>
      <c r="F149" s="3" t="s">
        <v>48</v>
      </c>
      <c r="G149" s="4"/>
      <c r="H149" s="4">
        <v>1328040</v>
      </c>
      <c r="I149" s="4">
        <v>1640520</v>
      </c>
      <c r="J149" s="4">
        <v>1640520</v>
      </c>
    </row>
    <row r="150" spans="1:11" ht="90" x14ac:dyDescent="0.25">
      <c r="A150" s="10" t="s">
        <v>193</v>
      </c>
      <c r="B150" s="2">
        <v>873</v>
      </c>
      <c r="C150" s="3" t="s">
        <v>13</v>
      </c>
      <c r="D150" s="3" t="s">
        <v>15</v>
      </c>
      <c r="E150" s="3" t="s">
        <v>182</v>
      </c>
      <c r="F150" s="3" t="s">
        <v>48</v>
      </c>
      <c r="G150" s="4">
        <f>15684593+653526</f>
        <v>16338119</v>
      </c>
      <c r="H150" s="4">
        <f>8519186+999198</f>
        <v>9518384</v>
      </c>
      <c r="I150" s="4">
        <v>7499923</v>
      </c>
      <c r="J150" s="4">
        <v>7499923</v>
      </c>
    </row>
    <row r="151" spans="1:11" ht="45" x14ac:dyDescent="0.25">
      <c r="A151" s="10" t="s">
        <v>156</v>
      </c>
      <c r="B151" s="2">
        <v>873</v>
      </c>
      <c r="C151" s="3" t="s">
        <v>13</v>
      </c>
      <c r="D151" s="3" t="s">
        <v>15</v>
      </c>
      <c r="E151" s="3" t="s">
        <v>183</v>
      </c>
      <c r="F151" s="3" t="s">
        <v>48</v>
      </c>
      <c r="G151" s="4"/>
      <c r="H151" s="4">
        <v>20699444</v>
      </c>
      <c r="I151" s="4">
        <v>20699444</v>
      </c>
      <c r="J151" s="4">
        <v>20699444</v>
      </c>
    </row>
    <row r="152" spans="1:11" ht="45" x14ac:dyDescent="0.25">
      <c r="A152" s="10" t="s">
        <v>156</v>
      </c>
      <c r="B152" s="2">
        <v>873</v>
      </c>
      <c r="C152" s="3" t="s">
        <v>13</v>
      </c>
      <c r="D152" s="3" t="s">
        <v>15</v>
      </c>
      <c r="E152" s="3" t="s">
        <v>183</v>
      </c>
      <c r="F152" s="3" t="s">
        <v>49</v>
      </c>
      <c r="G152" s="4">
        <v>30000</v>
      </c>
      <c r="H152" s="4">
        <v>2275000</v>
      </c>
      <c r="I152" s="4">
        <v>2275000</v>
      </c>
      <c r="J152" s="4">
        <v>2275000</v>
      </c>
    </row>
    <row r="153" spans="1:11" ht="75" x14ac:dyDescent="0.25">
      <c r="A153" s="10" t="s">
        <v>198</v>
      </c>
      <c r="B153" s="2">
        <v>873</v>
      </c>
      <c r="C153" s="3" t="s">
        <v>13</v>
      </c>
      <c r="D153" s="3" t="s">
        <v>15</v>
      </c>
      <c r="E153" s="3" t="s">
        <v>249</v>
      </c>
      <c r="F153" s="3" t="s">
        <v>49</v>
      </c>
      <c r="G153" s="4"/>
      <c r="H153" s="4">
        <v>430000</v>
      </c>
      <c r="I153" s="4">
        <v>430000</v>
      </c>
      <c r="J153" s="4">
        <v>430000</v>
      </c>
    </row>
    <row r="154" spans="1:11" ht="45" x14ac:dyDescent="0.25">
      <c r="A154" s="10" t="s">
        <v>156</v>
      </c>
      <c r="B154" s="2">
        <v>873</v>
      </c>
      <c r="C154" s="3" t="s">
        <v>13</v>
      </c>
      <c r="D154" s="3" t="s">
        <v>15</v>
      </c>
      <c r="E154" s="3" t="s">
        <v>183</v>
      </c>
      <c r="F154" s="3" t="s">
        <v>50</v>
      </c>
      <c r="G154" s="4"/>
      <c r="H154" s="4">
        <v>50000</v>
      </c>
      <c r="I154" s="4">
        <v>50000</v>
      </c>
      <c r="J154" s="4">
        <v>50000</v>
      </c>
      <c r="K154" s="14"/>
    </row>
    <row r="155" spans="1:11" ht="29.25" x14ac:dyDescent="0.25">
      <c r="A155" s="25" t="s">
        <v>71</v>
      </c>
      <c r="B155" s="22">
        <v>873</v>
      </c>
      <c r="C155" s="23" t="s">
        <v>56</v>
      </c>
      <c r="D155" s="23"/>
      <c r="E155" s="23"/>
      <c r="F155" s="23"/>
      <c r="G155" s="5">
        <f t="shared" ref="G155" si="54">G156+G160+G162+G158</f>
        <v>22450800</v>
      </c>
      <c r="H155" s="4">
        <f>H156+H158+H160+H162</f>
        <v>34955430</v>
      </c>
      <c r="I155" s="4">
        <f t="shared" ref="I155:J155" si="55">I156+I158+I160+I162</f>
        <v>34955430</v>
      </c>
      <c r="J155" s="4">
        <f t="shared" si="55"/>
        <v>34955430</v>
      </c>
      <c r="K155" s="14"/>
    </row>
    <row r="156" spans="1:11" ht="165" x14ac:dyDescent="0.25">
      <c r="A156" s="10" t="s">
        <v>85</v>
      </c>
      <c r="B156" s="2">
        <v>873</v>
      </c>
      <c r="C156" s="3">
        <v>10</v>
      </c>
      <c r="D156" s="3" t="s">
        <v>10</v>
      </c>
      <c r="E156" s="3" t="s">
        <v>26</v>
      </c>
      <c r="F156" s="3"/>
      <c r="G156" s="4">
        <f t="shared" ref="G156:J156" si="56">G157</f>
        <v>11592900</v>
      </c>
      <c r="H156" s="4">
        <f>H157</f>
        <v>15804230</v>
      </c>
      <c r="I156" s="4">
        <f t="shared" si="56"/>
        <v>15804230</v>
      </c>
      <c r="J156" s="4">
        <f t="shared" si="56"/>
        <v>15804230</v>
      </c>
    </row>
    <row r="157" spans="1:11" ht="45" x14ac:dyDescent="0.25">
      <c r="A157" s="10" t="s">
        <v>74</v>
      </c>
      <c r="B157" s="2">
        <v>873</v>
      </c>
      <c r="C157" s="3">
        <v>10</v>
      </c>
      <c r="D157" s="3" t="s">
        <v>10</v>
      </c>
      <c r="E157" s="3" t="s">
        <v>26</v>
      </c>
      <c r="F157" s="3" t="s">
        <v>51</v>
      </c>
      <c r="G157" s="4">
        <f>12309200-716300</f>
        <v>11592900</v>
      </c>
      <c r="H157" s="4">
        <v>15804230</v>
      </c>
      <c r="I157" s="4">
        <v>15804230</v>
      </c>
      <c r="J157" s="4">
        <v>15804230</v>
      </c>
    </row>
    <row r="158" spans="1:11" ht="90" x14ac:dyDescent="0.25">
      <c r="A158" s="10" t="s">
        <v>109</v>
      </c>
      <c r="B158" s="2">
        <v>873</v>
      </c>
      <c r="C158" s="3" t="s">
        <v>56</v>
      </c>
      <c r="D158" s="3" t="s">
        <v>10</v>
      </c>
      <c r="E158" s="3" t="s">
        <v>108</v>
      </c>
      <c r="F158" s="3"/>
      <c r="G158" s="4">
        <f t="shared" ref="G158" si="57">G159</f>
        <v>7537700</v>
      </c>
      <c r="H158" s="4">
        <v>14909100</v>
      </c>
      <c r="I158" s="4">
        <f t="shared" ref="I158:J158" si="58">I159</f>
        <v>14909100</v>
      </c>
      <c r="J158" s="4">
        <f t="shared" si="58"/>
        <v>14909100</v>
      </c>
    </row>
    <row r="159" spans="1:11" ht="90" x14ac:dyDescent="0.25">
      <c r="A159" s="10" t="s">
        <v>109</v>
      </c>
      <c r="B159" s="2">
        <v>873</v>
      </c>
      <c r="C159" s="3" t="s">
        <v>56</v>
      </c>
      <c r="D159" s="3" t="s">
        <v>10</v>
      </c>
      <c r="E159" s="3" t="s">
        <v>108</v>
      </c>
      <c r="F159" s="3" t="s">
        <v>51</v>
      </c>
      <c r="G159" s="4">
        <f>8087700-550000</f>
        <v>7537700</v>
      </c>
      <c r="H159" s="4">
        <v>14909100</v>
      </c>
      <c r="I159" s="4">
        <v>14909100</v>
      </c>
      <c r="J159" s="4">
        <v>14909100</v>
      </c>
    </row>
    <row r="160" spans="1:11" ht="150" x14ac:dyDescent="0.25">
      <c r="A160" s="10" t="s">
        <v>83</v>
      </c>
      <c r="B160" s="2">
        <v>873</v>
      </c>
      <c r="C160" s="3" t="s">
        <v>56</v>
      </c>
      <c r="D160" s="3" t="s">
        <v>10</v>
      </c>
      <c r="E160" s="3" t="s">
        <v>27</v>
      </c>
      <c r="F160" s="3"/>
      <c r="G160" s="4">
        <f>G161</f>
        <v>10000</v>
      </c>
      <c r="H160" s="4">
        <v>24000</v>
      </c>
      <c r="I160" s="4">
        <f>I161</f>
        <v>24000</v>
      </c>
      <c r="J160" s="6">
        <f>J161</f>
        <v>24000</v>
      </c>
    </row>
    <row r="161" spans="1:11" ht="90" x14ac:dyDescent="0.25">
      <c r="A161" s="10" t="s">
        <v>40</v>
      </c>
      <c r="B161" s="2">
        <v>873</v>
      </c>
      <c r="C161" s="3">
        <v>10</v>
      </c>
      <c r="D161" s="3" t="s">
        <v>10</v>
      </c>
      <c r="E161" s="3" t="s">
        <v>27</v>
      </c>
      <c r="F161" s="3" t="s">
        <v>51</v>
      </c>
      <c r="G161" s="4">
        <v>10000</v>
      </c>
      <c r="H161" s="4">
        <v>24000</v>
      </c>
      <c r="I161" s="4">
        <v>24000</v>
      </c>
      <c r="J161" s="6">
        <v>24000</v>
      </c>
    </row>
    <row r="162" spans="1:11" ht="120" x14ac:dyDescent="0.25">
      <c r="A162" s="10" t="s">
        <v>84</v>
      </c>
      <c r="B162" s="2">
        <v>873</v>
      </c>
      <c r="C162" s="3">
        <v>10</v>
      </c>
      <c r="D162" s="3" t="s">
        <v>12</v>
      </c>
      <c r="E162" s="3" t="s">
        <v>28</v>
      </c>
      <c r="F162" s="3"/>
      <c r="G162" s="4">
        <f t="shared" ref="G162:J162" si="59">G163</f>
        <v>3310200</v>
      </c>
      <c r="H162" s="4">
        <v>4218100</v>
      </c>
      <c r="I162" s="4">
        <f t="shared" si="59"/>
        <v>4218100</v>
      </c>
      <c r="J162" s="4">
        <f t="shared" si="59"/>
        <v>4218100</v>
      </c>
      <c r="K162" s="14"/>
    </row>
    <row r="163" spans="1:11" ht="165" x14ac:dyDescent="0.25">
      <c r="A163" s="10" t="s">
        <v>57</v>
      </c>
      <c r="B163" s="2">
        <v>873</v>
      </c>
      <c r="C163" s="3">
        <v>10</v>
      </c>
      <c r="D163" s="3" t="s">
        <v>12</v>
      </c>
      <c r="E163" s="3" t="s">
        <v>28</v>
      </c>
      <c r="F163" s="3" t="s">
        <v>48</v>
      </c>
      <c r="G163" s="4">
        <v>3310200</v>
      </c>
      <c r="H163" s="4">
        <v>4218100</v>
      </c>
      <c r="I163" s="4">
        <v>4218100</v>
      </c>
      <c r="J163" s="4">
        <v>4218100</v>
      </c>
    </row>
    <row r="164" spans="1:11" ht="129" x14ac:dyDescent="0.25">
      <c r="A164" s="25" t="s">
        <v>107</v>
      </c>
      <c r="B164" s="22">
        <v>875</v>
      </c>
      <c r="C164" s="3"/>
      <c r="D164" s="3"/>
      <c r="E164" s="3"/>
      <c r="F164" s="3"/>
      <c r="G164" s="5" t="e">
        <f>G173+G174+#REF!+G168+#REF!+#REF!</f>
        <v>#REF!</v>
      </c>
      <c r="H164" s="4">
        <f>H168+H165+H167</f>
        <v>142355460.90000001</v>
      </c>
      <c r="I164" s="4">
        <f t="shared" ref="I164:J164" si="60">I168+I165</f>
        <v>151553091</v>
      </c>
      <c r="J164" s="4">
        <f t="shared" si="60"/>
        <v>151553091</v>
      </c>
      <c r="K164" s="14"/>
    </row>
    <row r="165" spans="1:11" ht="29.25" x14ac:dyDescent="0.25">
      <c r="A165" s="25" t="s">
        <v>86</v>
      </c>
      <c r="B165" s="22">
        <v>875</v>
      </c>
      <c r="C165" s="3" t="s">
        <v>13</v>
      </c>
      <c r="D165" s="3" t="s">
        <v>13</v>
      </c>
      <c r="E165" s="3"/>
      <c r="F165" s="3"/>
      <c r="G165" s="5"/>
      <c r="H165" s="4">
        <f>H166</f>
        <v>60000</v>
      </c>
      <c r="I165" s="4">
        <f t="shared" ref="I165:J165" si="61">I166</f>
        <v>60000</v>
      </c>
      <c r="J165" s="4">
        <f t="shared" si="61"/>
        <v>60000</v>
      </c>
    </row>
    <row r="166" spans="1:11" ht="60" x14ac:dyDescent="0.25">
      <c r="A166" s="10" t="s">
        <v>123</v>
      </c>
      <c r="B166" s="2">
        <v>875</v>
      </c>
      <c r="C166" s="3" t="s">
        <v>13</v>
      </c>
      <c r="D166" s="3" t="s">
        <v>13</v>
      </c>
      <c r="E166" s="3" t="s">
        <v>233</v>
      </c>
      <c r="F166" s="3" t="s">
        <v>49</v>
      </c>
      <c r="G166" s="4"/>
      <c r="H166" s="4">
        <v>60000</v>
      </c>
      <c r="I166" s="4">
        <v>60000</v>
      </c>
      <c r="J166" s="4">
        <v>60000</v>
      </c>
    </row>
    <row r="167" spans="1:11" x14ac:dyDescent="0.25">
      <c r="A167" s="10"/>
      <c r="B167" s="2">
        <v>875</v>
      </c>
      <c r="C167" s="3" t="s">
        <v>13</v>
      </c>
      <c r="D167" s="3" t="s">
        <v>13</v>
      </c>
      <c r="E167" s="3" t="s">
        <v>99</v>
      </c>
      <c r="F167" s="3" t="s">
        <v>49</v>
      </c>
      <c r="G167" s="4"/>
      <c r="H167" s="4">
        <v>150000</v>
      </c>
      <c r="I167" s="4"/>
      <c r="J167" s="4"/>
    </row>
    <row r="168" spans="1:11" ht="240" x14ac:dyDescent="0.25">
      <c r="A168" s="10" t="s">
        <v>102</v>
      </c>
      <c r="B168" s="2">
        <v>875</v>
      </c>
      <c r="C168" s="3" t="s">
        <v>93</v>
      </c>
      <c r="D168" s="3" t="s">
        <v>228</v>
      </c>
      <c r="E168" s="3"/>
      <c r="F168" s="3"/>
      <c r="G168" s="4">
        <f t="shared" ref="G168" si="62">G169+G170+G171</f>
        <v>53820218.119999997</v>
      </c>
      <c r="H168" s="4">
        <f>H169+H170+H171+H172+H173+H174+H180+H181</f>
        <v>142145460.90000001</v>
      </c>
      <c r="I168" s="4">
        <f t="shared" ref="I168:J168" si="63">I169+I170+I171+I172+I173+I174+I180</f>
        <v>151493091</v>
      </c>
      <c r="J168" s="4">
        <f t="shared" si="63"/>
        <v>151493091</v>
      </c>
      <c r="K168" s="14"/>
    </row>
    <row r="169" spans="1:11" ht="165" x14ac:dyDescent="0.25">
      <c r="A169" s="10" t="s">
        <v>57</v>
      </c>
      <c r="B169" s="2">
        <v>875</v>
      </c>
      <c r="C169" s="3" t="s">
        <v>93</v>
      </c>
      <c r="D169" s="3" t="s">
        <v>9</v>
      </c>
      <c r="E169" s="3" t="s">
        <v>96</v>
      </c>
      <c r="F169" s="3" t="s">
        <v>48</v>
      </c>
      <c r="G169" s="4">
        <f>38632661+900000+408720+690337</f>
        <v>40631718</v>
      </c>
      <c r="H169" s="36">
        <f>97905566+400000+205000</f>
        <v>98510566</v>
      </c>
      <c r="I169" s="4">
        <v>107753356</v>
      </c>
      <c r="J169" s="4">
        <v>107753356</v>
      </c>
      <c r="K169" s="24"/>
    </row>
    <row r="170" spans="1:11" ht="60" x14ac:dyDescent="0.25">
      <c r="A170" s="10" t="s">
        <v>67</v>
      </c>
      <c r="B170" s="2">
        <v>875</v>
      </c>
      <c r="C170" s="3" t="s">
        <v>93</v>
      </c>
      <c r="D170" s="3" t="s">
        <v>9</v>
      </c>
      <c r="E170" s="3" t="s">
        <v>96</v>
      </c>
      <c r="F170" s="3" t="s">
        <v>49</v>
      </c>
      <c r="G170" s="4">
        <f>4172000+953000+3553000+514000+500.12+400000+200000+1590000</f>
        <v>11382500.119999999</v>
      </c>
      <c r="H170" s="4">
        <f>13244794.95-810000+625000</f>
        <v>13059794.949999999</v>
      </c>
      <c r="I170" s="4">
        <v>15815301.119999999</v>
      </c>
      <c r="J170" s="4">
        <v>15815301.119999999</v>
      </c>
    </row>
    <row r="171" spans="1:11" ht="30" x14ac:dyDescent="0.25">
      <c r="A171" s="10" t="s">
        <v>59</v>
      </c>
      <c r="B171" s="2">
        <v>875</v>
      </c>
      <c r="C171" s="3" t="s">
        <v>93</v>
      </c>
      <c r="D171" s="3" t="s">
        <v>9</v>
      </c>
      <c r="E171" s="3" t="s">
        <v>96</v>
      </c>
      <c r="F171" s="3" t="s">
        <v>50</v>
      </c>
      <c r="G171" s="4">
        <f>1200000+5000+301000+100000+200000</f>
        <v>1806000</v>
      </c>
      <c r="H171" s="4">
        <f>5054462+400000</f>
        <v>5454462</v>
      </c>
      <c r="I171" s="4">
        <v>3349127</v>
      </c>
      <c r="J171" s="4">
        <v>3349127</v>
      </c>
    </row>
    <row r="172" spans="1:11" ht="75" x14ac:dyDescent="0.25">
      <c r="A172" s="10" t="s">
        <v>198</v>
      </c>
      <c r="B172" s="2">
        <v>875</v>
      </c>
      <c r="C172" s="3" t="s">
        <v>93</v>
      </c>
      <c r="D172" s="3" t="s">
        <v>9</v>
      </c>
      <c r="E172" s="3" t="s">
        <v>185</v>
      </c>
      <c r="F172" s="3" t="s">
        <v>49</v>
      </c>
      <c r="G172" s="4"/>
      <c r="H172" s="4">
        <f>7131474.95+493000+10000</f>
        <v>7634474.9500000002</v>
      </c>
      <c r="I172" s="4">
        <v>8404533.8800000008</v>
      </c>
      <c r="J172" s="4">
        <v>8404533.8800000008</v>
      </c>
      <c r="K172" s="14"/>
    </row>
    <row r="173" spans="1:11" ht="30" x14ac:dyDescent="0.25">
      <c r="A173" s="8" t="s">
        <v>98</v>
      </c>
      <c r="B173" s="2">
        <v>875</v>
      </c>
      <c r="C173" s="3" t="s">
        <v>93</v>
      </c>
      <c r="D173" s="3" t="s">
        <v>9</v>
      </c>
      <c r="E173" s="3" t="s">
        <v>144</v>
      </c>
      <c r="F173" s="3" t="s">
        <v>51</v>
      </c>
      <c r="G173" s="4">
        <f>250000+350000</f>
        <v>600000</v>
      </c>
      <c r="H173" s="4">
        <v>1500000</v>
      </c>
      <c r="I173" s="4">
        <v>1500000</v>
      </c>
      <c r="J173" s="4">
        <v>1500000</v>
      </c>
    </row>
    <row r="174" spans="1:11" ht="60" x14ac:dyDescent="0.25">
      <c r="A174" s="10" t="s">
        <v>104</v>
      </c>
      <c r="B174" s="2">
        <v>875</v>
      </c>
      <c r="C174" s="3" t="s">
        <v>93</v>
      </c>
      <c r="D174" s="3" t="s">
        <v>11</v>
      </c>
      <c r="E174" s="3" t="s">
        <v>224</v>
      </c>
      <c r="F174" s="3"/>
      <c r="G174" s="4" t="e">
        <f>G175+#REF!+G177</f>
        <v>#REF!</v>
      </c>
      <c r="H174" s="4">
        <f>H175+H176+H177+H178+H179+H182</f>
        <v>14386163</v>
      </c>
      <c r="I174" s="4">
        <f t="shared" ref="I174:J174" si="64">I175+I176+I177+I178+I179</f>
        <v>13870773</v>
      </c>
      <c r="J174" s="4">
        <f t="shared" si="64"/>
        <v>13870773</v>
      </c>
    </row>
    <row r="175" spans="1:11" ht="90" x14ac:dyDescent="0.25">
      <c r="A175" s="10" t="s">
        <v>193</v>
      </c>
      <c r="B175" s="2">
        <v>875</v>
      </c>
      <c r="C175" s="3">
        <v>11</v>
      </c>
      <c r="D175" s="3" t="s">
        <v>11</v>
      </c>
      <c r="E175" s="3" t="s">
        <v>186</v>
      </c>
      <c r="F175" s="3" t="s">
        <v>48</v>
      </c>
      <c r="G175" s="4">
        <f>1603869+576929+102100</f>
        <v>2282898</v>
      </c>
      <c r="H175" s="4">
        <v>4337499</v>
      </c>
      <c r="I175" s="4">
        <v>4144151</v>
      </c>
      <c r="J175" s="4">
        <v>4144151</v>
      </c>
      <c r="K175" s="24"/>
    </row>
    <row r="176" spans="1:11" ht="45" x14ac:dyDescent="0.25">
      <c r="A176" s="8" t="s">
        <v>156</v>
      </c>
      <c r="B176" s="2">
        <v>875</v>
      </c>
      <c r="C176" s="3" t="s">
        <v>93</v>
      </c>
      <c r="D176" s="3" t="s">
        <v>11</v>
      </c>
      <c r="E176" s="3" t="s">
        <v>187</v>
      </c>
      <c r="F176" s="3" t="s">
        <v>48</v>
      </c>
      <c r="G176" s="4"/>
      <c r="H176" s="4">
        <v>5846622</v>
      </c>
      <c r="I176" s="4">
        <v>5846622</v>
      </c>
      <c r="J176" s="4">
        <v>5846622</v>
      </c>
    </row>
    <row r="177" spans="1:11" ht="45" x14ac:dyDescent="0.25">
      <c r="A177" s="8" t="s">
        <v>156</v>
      </c>
      <c r="B177" s="2">
        <v>875</v>
      </c>
      <c r="C177" s="3" t="s">
        <v>93</v>
      </c>
      <c r="D177" s="3" t="s">
        <v>11</v>
      </c>
      <c r="E177" s="3" t="s">
        <v>187</v>
      </c>
      <c r="F177" s="3" t="s">
        <v>49</v>
      </c>
      <c r="G177" s="4">
        <v>10000</v>
      </c>
      <c r="H177" s="4">
        <f>3430000-16000</f>
        <v>3414000</v>
      </c>
      <c r="I177" s="4">
        <v>3430000</v>
      </c>
      <c r="J177" s="4">
        <v>3430000</v>
      </c>
    </row>
    <row r="178" spans="1:11" ht="45" x14ac:dyDescent="0.25">
      <c r="A178" s="8" t="s">
        <v>156</v>
      </c>
      <c r="B178" s="2">
        <v>875</v>
      </c>
      <c r="C178" s="3" t="s">
        <v>93</v>
      </c>
      <c r="D178" s="3" t="s">
        <v>11</v>
      </c>
      <c r="E178" s="3" t="s">
        <v>187</v>
      </c>
      <c r="F178" s="3" t="s">
        <v>50</v>
      </c>
      <c r="G178" s="4"/>
      <c r="H178" s="4">
        <v>150000</v>
      </c>
      <c r="I178" s="4">
        <v>150000</v>
      </c>
      <c r="J178" s="4">
        <v>150000</v>
      </c>
    </row>
    <row r="179" spans="1:11" ht="75" x14ac:dyDescent="0.25">
      <c r="A179" s="8" t="s">
        <v>198</v>
      </c>
      <c r="B179" s="2">
        <v>875</v>
      </c>
      <c r="C179" s="3" t="s">
        <v>93</v>
      </c>
      <c r="D179" s="3" t="s">
        <v>11</v>
      </c>
      <c r="E179" s="3" t="s">
        <v>212</v>
      </c>
      <c r="F179" s="3" t="s">
        <v>49</v>
      </c>
      <c r="G179" s="4"/>
      <c r="H179" s="4">
        <v>300000</v>
      </c>
      <c r="I179" s="4">
        <v>300000</v>
      </c>
      <c r="J179" s="4">
        <v>300000</v>
      </c>
    </row>
    <row r="180" spans="1:11" ht="75" x14ac:dyDescent="0.25">
      <c r="A180" s="8" t="s">
        <v>244</v>
      </c>
      <c r="B180" s="2">
        <v>875</v>
      </c>
      <c r="C180" s="3" t="s">
        <v>13</v>
      </c>
      <c r="D180" s="3" t="s">
        <v>13</v>
      </c>
      <c r="E180" s="3" t="s">
        <v>215</v>
      </c>
      <c r="F180" s="3" t="s">
        <v>49</v>
      </c>
      <c r="G180" s="4"/>
      <c r="H180" s="4">
        <v>800000</v>
      </c>
      <c r="I180" s="4">
        <v>800000</v>
      </c>
      <c r="J180" s="4">
        <v>800000</v>
      </c>
    </row>
    <row r="181" spans="1:11" ht="73.5" customHeight="1" x14ac:dyDescent="0.25">
      <c r="A181" s="8" t="s">
        <v>243</v>
      </c>
      <c r="B181" s="2">
        <v>875.07</v>
      </c>
      <c r="C181" s="3" t="s">
        <v>13</v>
      </c>
      <c r="D181" s="3" t="s">
        <v>13</v>
      </c>
      <c r="E181" s="3" t="s">
        <v>242</v>
      </c>
      <c r="F181" s="3" t="s">
        <v>49</v>
      </c>
      <c r="G181" s="4"/>
      <c r="H181" s="4">
        <v>800000</v>
      </c>
      <c r="I181" s="4">
        <v>0</v>
      </c>
      <c r="J181" s="4">
        <v>0</v>
      </c>
    </row>
    <row r="182" spans="1:11" ht="73.5" customHeight="1" x14ac:dyDescent="0.25">
      <c r="A182" s="8" t="s">
        <v>210</v>
      </c>
      <c r="B182" s="2">
        <v>875</v>
      </c>
      <c r="C182" s="3" t="s">
        <v>93</v>
      </c>
      <c r="D182" s="3" t="s">
        <v>9</v>
      </c>
      <c r="E182" s="3" t="s">
        <v>251</v>
      </c>
      <c r="F182" s="3" t="s">
        <v>49</v>
      </c>
      <c r="G182" s="4"/>
      <c r="H182" s="4">
        <v>338042</v>
      </c>
      <c r="I182" s="4">
        <v>0</v>
      </c>
      <c r="J182" s="4">
        <v>0</v>
      </c>
    </row>
    <row r="183" spans="1:11" ht="57.75" x14ac:dyDescent="0.25">
      <c r="A183" s="21" t="s">
        <v>152</v>
      </c>
      <c r="B183" s="22">
        <v>879</v>
      </c>
      <c r="C183" s="23"/>
      <c r="D183" s="23"/>
      <c r="E183" s="23"/>
      <c r="F183" s="23"/>
      <c r="G183" s="5"/>
      <c r="H183" s="4">
        <f>H185+H186+H187+H189+H190+H192+H184+H193+H196+H195+H191+H197+H188+H194</f>
        <v>135961359.47</v>
      </c>
      <c r="I183" s="4">
        <f t="shared" ref="I183:J183" si="65">I185+I186+I187+I189+I190+I192+I184+I193+I196+I195+I191</f>
        <v>51291056</v>
      </c>
      <c r="J183" s="4">
        <f t="shared" si="65"/>
        <v>15112957</v>
      </c>
    </row>
    <row r="184" spans="1:11" ht="60" x14ac:dyDescent="0.25">
      <c r="A184" s="8" t="s">
        <v>237</v>
      </c>
      <c r="B184" s="2">
        <v>879</v>
      </c>
      <c r="C184" s="3" t="s">
        <v>11</v>
      </c>
      <c r="D184" s="3" t="s">
        <v>14</v>
      </c>
      <c r="E184" s="3" t="s">
        <v>235</v>
      </c>
      <c r="F184" s="3" t="s">
        <v>236</v>
      </c>
      <c r="G184" s="4"/>
      <c r="H184" s="4">
        <f>30208277+305132</f>
        <v>30513409</v>
      </c>
      <c r="I184" s="4">
        <f>27428099+277051</f>
        <v>27705150</v>
      </c>
      <c r="J184" s="4">
        <v>0</v>
      </c>
    </row>
    <row r="185" spans="1:11" ht="90" x14ac:dyDescent="0.25">
      <c r="A185" s="8" t="s">
        <v>193</v>
      </c>
      <c r="B185" s="2">
        <v>879</v>
      </c>
      <c r="C185" s="3" t="s">
        <v>11</v>
      </c>
      <c r="D185" s="3" t="s">
        <v>11</v>
      </c>
      <c r="E185" s="3" t="s">
        <v>161</v>
      </c>
      <c r="F185" s="3" t="s">
        <v>48</v>
      </c>
      <c r="G185" s="4"/>
      <c r="H185" s="4">
        <v>13812298</v>
      </c>
      <c r="I185" s="4">
        <v>12422957</v>
      </c>
      <c r="J185" s="4">
        <v>12422957</v>
      </c>
      <c r="K185" s="24"/>
    </row>
    <row r="186" spans="1:11" ht="60" x14ac:dyDescent="0.25">
      <c r="A186" s="8" t="s">
        <v>104</v>
      </c>
      <c r="B186" s="2">
        <v>879</v>
      </c>
      <c r="C186" s="3" t="s">
        <v>11</v>
      </c>
      <c r="D186" s="3" t="s">
        <v>11</v>
      </c>
      <c r="E186" s="3" t="s">
        <v>34</v>
      </c>
      <c r="F186" s="3" t="s">
        <v>49</v>
      </c>
      <c r="G186" s="4"/>
      <c r="H186" s="4">
        <v>150000</v>
      </c>
      <c r="I186" s="4">
        <v>150000</v>
      </c>
      <c r="J186" s="4">
        <v>150000</v>
      </c>
    </row>
    <row r="187" spans="1:11" ht="30" x14ac:dyDescent="0.25">
      <c r="A187" s="8" t="s">
        <v>135</v>
      </c>
      <c r="B187" s="2">
        <v>879</v>
      </c>
      <c r="C187" s="3" t="s">
        <v>8</v>
      </c>
      <c r="D187" s="3" t="s">
        <v>18</v>
      </c>
      <c r="E187" s="3" t="s">
        <v>32</v>
      </c>
      <c r="F187" s="3" t="s">
        <v>49</v>
      </c>
      <c r="G187" s="4"/>
      <c r="H187" s="4">
        <f>1500000+580000-1100000-400000-400000</f>
        <v>180000</v>
      </c>
      <c r="I187" s="4">
        <f>1500000</f>
        <v>1500000</v>
      </c>
      <c r="J187" s="4">
        <v>1500000</v>
      </c>
    </row>
    <row r="188" spans="1:11" ht="68.25" customHeight="1" x14ac:dyDescent="0.25">
      <c r="A188" s="8" t="s">
        <v>258</v>
      </c>
      <c r="B188" s="2">
        <v>879</v>
      </c>
      <c r="C188" s="3" t="s">
        <v>10</v>
      </c>
      <c r="D188" s="3" t="s">
        <v>19</v>
      </c>
      <c r="E188" s="3" t="s">
        <v>256</v>
      </c>
      <c r="F188" s="3" t="s">
        <v>49</v>
      </c>
      <c r="G188" s="4"/>
      <c r="H188" s="4">
        <v>400000</v>
      </c>
      <c r="I188" s="4">
        <v>0</v>
      </c>
      <c r="J188" s="4">
        <v>0</v>
      </c>
    </row>
    <row r="189" spans="1:11" ht="45" x14ac:dyDescent="0.25">
      <c r="A189" s="8" t="s">
        <v>156</v>
      </c>
      <c r="B189" s="2">
        <v>879</v>
      </c>
      <c r="C189" s="3" t="s">
        <v>11</v>
      </c>
      <c r="D189" s="3" t="s">
        <v>11</v>
      </c>
      <c r="E189" s="3" t="s">
        <v>162</v>
      </c>
      <c r="F189" s="3" t="s">
        <v>49</v>
      </c>
      <c r="G189" s="4"/>
      <c r="H189" s="4">
        <f>870000-305132+1100000+400000+100000</f>
        <v>2164868</v>
      </c>
      <c r="I189" s="4">
        <f>870000-277051</f>
        <v>592949</v>
      </c>
      <c r="J189" s="4">
        <v>870000</v>
      </c>
    </row>
    <row r="190" spans="1:11" ht="45" x14ac:dyDescent="0.25">
      <c r="A190" s="8" t="s">
        <v>156</v>
      </c>
      <c r="B190" s="2">
        <v>879</v>
      </c>
      <c r="C190" s="3" t="s">
        <v>11</v>
      </c>
      <c r="D190" s="3" t="s">
        <v>11</v>
      </c>
      <c r="E190" s="3" t="s">
        <v>162</v>
      </c>
      <c r="F190" s="3" t="s">
        <v>50</v>
      </c>
      <c r="G190" s="4"/>
      <c r="H190" s="4">
        <f>70000+115000</f>
        <v>185000</v>
      </c>
      <c r="I190" s="4">
        <v>70000</v>
      </c>
      <c r="J190" s="4">
        <v>70000</v>
      </c>
    </row>
    <row r="191" spans="1:11" ht="105" customHeight="1" x14ac:dyDescent="0.25">
      <c r="A191" s="8" t="s">
        <v>253</v>
      </c>
      <c r="B191" s="2">
        <v>879</v>
      </c>
      <c r="C191" s="3" t="s">
        <v>12</v>
      </c>
      <c r="D191" s="3" t="s">
        <v>11</v>
      </c>
      <c r="E191" s="3" t="s">
        <v>252</v>
      </c>
      <c r="F191" s="3" t="s">
        <v>49</v>
      </c>
      <c r="G191" s="4"/>
      <c r="H191" s="4">
        <v>8750000</v>
      </c>
      <c r="I191" s="4">
        <v>8750000</v>
      </c>
      <c r="J191" s="4">
        <v>0</v>
      </c>
    </row>
    <row r="192" spans="1:11" ht="75" x14ac:dyDescent="0.25">
      <c r="A192" s="8" t="s">
        <v>198</v>
      </c>
      <c r="B192" s="2">
        <v>879</v>
      </c>
      <c r="C192" s="3" t="s">
        <v>11</v>
      </c>
      <c r="D192" s="3" t="s">
        <v>11</v>
      </c>
      <c r="E192" s="3" t="s">
        <v>188</v>
      </c>
      <c r="F192" s="3" t="s">
        <v>49</v>
      </c>
      <c r="G192" s="4"/>
      <c r="H192" s="4">
        <v>100000</v>
      </c>
      <c r="I192" s="4">
        <v>100000</v>
      </c>
      <c r="J192" s="4">
        <v>100000</v>
      </c>
    </row>
    <row r="193" spans="1:11" ht="60" x14ac:dyDescent="0.25">
      <c r="A193" s="8" t="s">
        <v>134</v>
      </c>
      <c r="B193" s="2">
        <v>879</v>
      </c>
      <c r="C193" s="3" t="s">
        <v>13</v>
      </c>
      <c r="D193" s="3" t="s">
        <v>14</v>
      </c>
      <c r="E193" s="3" t="s">
        <v>219</v>
      </c>
      <c r="F193" s="3" t="s">
        <v>49</v>
      </c>
      <c r="G193" s="4"/>
      <c r="H193" s="4">
        <f>64498547.37+3583254.74</f>
        <v>68081802.109999999</v>
      </c>
      <c r="I193" s="4">
        <v>0</v>
      </c>
      <c r="J193" s="4">
        <v>0</v>
      </c>
    </row>
    <row r="194" spans="1:11" ht="60" x14ac:dyDescent="0.25">
      <c r="A194" s="8" t="s">
        <v>134</v>
      </c>
      <c r="B194" s="2">
        <v>879</v>
      </c>
      <c r="C194" s="3" t="s">
        <v>13</v>
      </c>
      <c r="D194" s="3" t="s">
        <v>14</v>
      </c>
      <c r="E194" s="3" t="s">
        <v>24</v>
      </c>
      <c r="F194" s="3" t="s">
        <v>49</v>
      </c>
      <c r="G194" s="4"/>
      <c r="H194" s="4">
        <v>3000000</v>
      </c>
      <c r="I194" s="4"/>
      <c r="J194" s="4"/>
    </row>
    <row r="195" spans="1:11" ht="105" x14ac:dyDescent="0.25">
      <c r="A195" s="8" t="s">
        <v>210</v>
      </c>
      <c r="B195" s="2">
        <v>879</v>
      </c>
      <c r="C195" s="3" t="s">
        <v>13</v>
      </c>
      <c r="D195" s="3" t="s">
        <v>13</v>
      </c>
      <c r="E195" s="3" t="s">
        <v>181</v>
      </c>
      <c r="F195" s="3" t="s">
        <v>49</v>
      </c>
      <c r="G195" s="4"/>
      <c r="H195" s="4">
        <v>2250000</v>
      </c>
      <c r="I195" s="4">
        <v>0</v>
      </c>
      <c r="J195" s="4">
        <v>0</v>
      </c>
    </row>
    <row r="196" spans="1:11" ht="30" x14ac:dyDescent="0.25">
      <c r="A196" s="8" t="s">
        <v>227</v>
      </c>
      <c r="B196" s="2">
        <v>879</v>
      </c>
      <c r="C196" s="3" t="s">
        <v>16</v>
      </c>
      <c r="D196" s="3" t="s">
        <v>8</v>
      </c>
      <c r="E196" s="3" t="s">
        <v>250</v>
      </c>
      <c r="F196" s="3" t="s">
        <v>49</v>
      </c>
      <c r="G196" s="4"/>
      <c r="H196" s="4">
        <v>2575124.2200000002</v>
      </c>
      <c r="I196" s="4">
        <v>0</v>
      </c>
      <c r="J196" s="4">
        <v>0</v>
      </c>
    </row>
    <row r="197" spans="1:11" ht="94.5" customHeight="1" x14ac:dyDescent="0.25">
      <c r="A197" s="8" t="s">
        <v>260</v>
      </c>
      <c r="B197" s="2">
        <v>879</v>
      </c>
      <c r="C197" s="3" t="s">
        <v>93</v>
      </c>
      <c r="D197" s="3" t="s">
        <v>9</v>
      </c>
      <c r="E197" s="3" t="s">
        <v>259</v>
      </c>
      <c r="F197" s="3" t="s">
        <v>255</v>
      </c>
      <c r="G197" s="4"/>
      <c r="H197" s="4">
        <v>3798858.14</v>
      </c>
      <c r="I197" s="4">
        <v>0</v>
      </c>
      <c r="J197" s="4">
        <v>0</v>
      </c>
    </row>
    <row r="198" spans="1:11" s="12" customFormat="1" ht="99.75" x14ac:dyDescent="0.2">
      <c r="A198" s="25" t="s">
        <v>7</v>
      </c>
      <c r="B198" s="22">
        <v>857</v>
      </c>
      <c r="C198" s="23"/>
      <c r="D198" s="23"/>
      <c r="E198" s="23"/>
      <c r="F198" s="23"/>
      <c r="G198" s="5" t="e">
        <f>G199+G208+G218+G224</f>
        <v>#REF!</v>
      </c>
      <c r="H198" s="4">
        <f>H199+H208+H218+H224+H205</f>
        <v>99621876.5</v>
      </c>
      <c r="I198" s="4">
        <f>I199+I208+I218+I224+I205</f>
        <v>88924498</v>
      </c>
      <c r="J198" s="4">
        <f>J199+J208+J218+J224+J205</f>
        <v>88924498</v>
      </c>
    </row>
    <row r="199" spans="1:11" ht="29.25" x14ac:dyDescent="0.25">
      <c r="A199" s="25" t="s">
        <v>65</v>
      </c>
      <c r="B199" s="22">
        <v>857</v>
      </c>
      <c r="C199" s="23" t="s">
        <v>13</v>
      </c>
      <c r="D199" s="23" t="s">
        <v>9</v>
      </c>
      <c r="E199" s="23"/>
      <c r="F199" s="23"/>
      <c r="G199" s="5">
        <f t="shared" ref="G199" si="66">G200</f>
        <v>12123250</v>
      </c>
      <c r="H199" s="4">
        <f>H200</f>
        <v>21360846</v>
      </c>
      <c r="I199" s="4">
        <f t="shared" ref="I199:J199" si="67">I200</f>
        <v>19343347</v>
      </c>
      <c r="J199" s="4">
        <f t="shared" si="67"/>
        <v>19343347</v>
      </c>
      <c r="K199" s="14"/>
    </row>
    <row r="200" spans="1:11" ht="135" x14ac:dyDescent="0.25">
      <c r="A200" s="10" t="s">
        <v>87</v>
      </c>
      <c r="B200" s="2">
        <v>857</v>
      </c>
      <c r="C200" s="3" t="s">
        <v>13</v>
      </c>
      <c r="D200" s="3" t="s">
        <v>9</v>
      </c>
      <c r="E200" s="3" t="s">
        <v>25</v>
      </c>
      <c r="F200" s="3"/>
      <c r="G200" s="4">
        <f>G201+G202+G203+G205</f>
        <v>12123250</v>
      </c>
      <c r="H200" s="4">
        <f>H201+H202+H203+H204</f>
        <v>21360846</v>
      </c>
      <c r="I200" s="4">
        <f t="shared" ref="I200:J200" si="68">I201+I202+I203+I204</f>
        <v>19343347</v>
      </c>
      <c r="J200" s="4">
        <f t="shared" si="68"/>
        <v>19343347</v>
      </c>
    </row>
    <row r="201" spans="1:11" ht="165" x14ac:dyDescent="0.25">
      <c r="A201" s="10" t="s">
        <v>57</v>
      </c>
      <c r="B201" s="2">
        <v>857</v>
      </c>
      <c r="C201" s="3" t="s">
        <v>13</v>
      </c>
      <c r="D201" s="3" t="s">
        <v>9</v>
      </c>
      <c r="E201" s="3" t="s">
        <v>25</v>
      </c>
      <c r="F201" s="3" t="s">
        <v>48</v>
      </c>
      <c r="G201" s="4">
        <v>11333250</v>
      </c>
      <c r="H201" s="4">
        <v>18997958</v>
      </c>
      <c r="I201" s="4">
        <v>18206547</v>
      </c>
      <c r="J201" s="4">
        <v>18206547</v>
      </c>
      <c r="K201" s="24"/>
    </row>
    <row r="202" spans="1:11" ht="60" x14ac:dyDescent="0.25">
      <c r="A202" s="10" t="s">
        <v>67</v>
      </c>
      <c r="B202" s="2">
        <v>857</v>
      </c>
      <c r="C202" s="3" t="s">
        <v>13</v>
      </c>
      <c r="D202" s="3" t="s">
        <v>9</v>
      </c>
      <c r="E202" s="3" t="s">
        <v>25</v>
      </c>
      <c r="F202" s="3" t="s">
        <v>49</v>
      </c>
      <c r="G202" s="4">
        <f>591000+165000</f>
        <v>756000</v>
      </c>
      <c r="H202" s="4">
        <f>1998764+201624</f>
        <v>2200388</v>
      </c>
      <c r="I202" s="4">
        <v>974300</v>
      </c>
      <c r="J202" s="4">
        <v>974300</v>
      </c>
    </row>
    <row r="203" spans="1:11" ht="30" x14ac:dyDescent="0.25">
      <c r="A203" s="10" t="s">
        <v>59</v>
      </c>
      <c r="B203" s="2">
        <v>857</v>
      </c>
      <c r="C203" s="3" t="s">
        <v>13</v>
      </c>
      <c r="D203" s="3" t="s">
        <v>9</v>
      </c>
      <c r="E203" s="3" t="s">
        <v>25</v>
      </c>
      <c r="F203" s="3" t="s">
        <v>50</v>
      </c>
      <c r="G203" s="4">
        <f>10000+2000</f>
        <v>12000</v>
      </c>
      <c r="H203" s="4">
        <v>2500</v>
      </c>
      <c r="I203" s="4">
        <v>2500</v>
      </c>
      <c r="J203" s="4">
        <v>2500</v>
      </c>
    </row>
    <row r="204" spans="1:11" ht="75" x14ac:dyDescent="0.25">
      <c r="A204" s="10" t="s">
        <v>198</v>
      </c>
      <c r="B204" s="2">
        <v>857</v>
      </c>
      <c r="C204" s="3" t="s">
        <v>13</v>
      </c>
      <c r="D204" s="3" t="s">
        <v>9</v>
      </c>
      <c r="E204" s="3" t="s">
        <v>184</v>
      </c>
      <c r="F204" s="3" t="s">
        <v>49</v>
      </c>
      <c r="G204" s="4"/>
      <c r="H204" s="4">
        <v>160000</v>
      </c>
      <c r="I204" s="4">
        <v>160000</v>
      </c>
      <c r="J204" s="4">
        <v>160000</v>
      </c>
    </row>
    <row r="205" spans="1:11" ht="105" x14ac:dyDescent="0.25">
      <c r="A205" s="10" t="s">
        <v>210</v>
      </c>
      <c r="B205" s="2">
        <v>857</v>
      </c>
      <c r="C205" s="3" t="s">
        <v>13</v>
      </c>
      <c r="D205" s="3" t="s">
        <v>13</v>
      </c>
      <c r="E205" s="3"/>
      <c r="F205" s="3"/>
      <c r="G205" s="4">
        <f t="shared" ref="G205" si="69">G206</f>
        <v>22000</v>
      </c>
      <c r="H205" s="4">
        <f>H206+H207</f>
        <v>360000</v>
      </c>
      <c r="I205" s="4">
        <f t="shared" ref="I205:J205" si="70">I206+I207</f>
        <v>360000</v>
      </c>
      <c r="J205" s="4">
        <f t="shared" si="70"/>
        <v>360000</v>
      </c>
    </row>
    <row r="206" spans="1:11" ht="105" x14ac:dyDescent="0.25">
      <c r="A206" s="10" t="s">
        <v>210</v>
      </c>
      <c r="B206" s="2">
        <v>857</v>
      </c>
      <c r="C206" s="3" t="s">
        <v>13</v>
      </c>
      <c r="D206" s="3" t="s">
        <v>13</v>
      </c>
      <c r="E206" s="3" t="s">
        <v>181</v>
      </c>
      <c r="F206" s="3" t="s">
        <v>49</v>
      </c>
      <c r="G206" s="4">
        <f>20000+2000</f>
        <v>22000</v>
      </c>
      <c r="H206" s="4">
        <f>300000</f>
        <v>300000</v>
      </c>
      <c r="I206" s="4">
        <v>300000</v>
      </c>
      <c r="J206" s="4">
        <v>300000</v>
      </c>
    </row>
    <row r="207" spans="1:11" ht="60" x14ac:dyDescent="0.25">
      <c r="A207" s="10" t="s">
        <v>123</v>
      </c>
      <c r="B207" s="2">
        <v>857</v>
      </c>
      <c r="C207" s="3" t="s">
        <v>13</v>
      </c>
      <c r="D207" s="3" t="s">
        <v>13</v>
      </c>
      <c r="E207" s="3" t="s">
        <v>233</v>
      </c>
      <c r="F207" s="3" t="s">
        <v>49</v>
      </c>
      <c r="G207" s="4"/>
      <c r="H207" s="4">
        <v>60000</v>
      </c>
      <c r="I207" s="4">
        <v>60000</v>
      </c>
      <c r="J207" s="4">
        <v>60000</v>
      </c>
    </row>
    <row r="208" spans="1:11" ht="29.25" x14ac:dyDescent="0.25">
      <c r="A208" s="25" t="s">
        <v>68</v>
      </c>
      <c r="B208" s="22">
        <v>857</v>
      </c>
      <c r="C208" s="23" t="s">
        <v>16</v>
      </c>
      <c r="D208" s="23" t="s">
        <v>8</v>
      </c>
      <c r="E208" s="23"/>
      <c r="F208" s="23"/>
      <c r="G208" s="5" t="e">
        <f>#REF!</f>
        <v>#REF!</v>
      </c>
      <c r="H208" s="4">
        <f>H213+H214+H215+H210+H211+H212+H216+H217+H209</f>
        <v>51594538.590000004</v>
      </c>
      <c r="I208" s="4">
        <f t="shared" ref="I208:J208" si="71">I213+I214+I215+I210+I211+I212</f>
        <v>43537194</v>
      </c>
      <c r="J208" s="4">
        <f t="shared" si="71"/>
        <v>43537194</v>
      </c>
    </row>
    <row r="209" spans="1:11" ht="57.75" customHeight="1" x14ac:dyDescent="0.25">
      <c r="A209" s="10" t="s">
        <v>258</v>
      </c>
      <c r="B209" s="2">
        <v>857</v>
      </c>
      <c r="C209" s="3" t="s">
        <v>10</v>
      </c>
      <c r="D209" s="3" t="s">
        <v>19</v>
      </c>
      <c r="E209" s="3" t="s">
        <v>256</v>
      </c>
      <c r="F209" s="3" t="s">
        <v>49</v>
      </c>
      <c r="G209" s="4"/>
      <c r="H209" s="4">
        <v>300000</v>
      </c>
      <c r="I209" s="4">
        <v>0</v>
      </c>
      <c r="J209" s="4">
        <v>0</v>
      </c>
    </row>
    <row r="210" spans="1:11" ht="30" x14ac:dyDescent="0.25">
      <c r="A210" s="35" t="s">
        <v>227</v>
      </c>
      <c r="B210" s="2">
        <v>857</v>
      </c>
      <c r="C210" s="3" t="s">
        <v>16</v>
      </c>
      <c r="D210" s="3" t="s">
        <v>8</v>
      </c>
      <c r="E210" s="3" t="s">
        <v>250</v>
      </c>
      <c r="F210" s="3" t="s">
        <v>49</v>
      </c>
      <c r="G210" s="4"/>
      <c r="H210" s="4">
        <v>5678141.0899999999</v>
      </c>
      <c r="I210" s="4">
        <v>0</v>
      </c>
      <c r="J210" s="4">
        <v>0</v>
      </c>
    </row>
    <row r="211" spans="1:11" ht="75" x14ac:dyDescent="0.25">
      <c r="A211" s="35" t="s">
        <v>231</v>
      </c>
      <c r="B211" s="2">
        <v>857</v>
      </c>
      <c r="C211" s="3" t="s">
        <v>16</v>
      </c>
      <c r="D211" s="3" t="s">
        <v>8</v>
      </c>
      <c r="E211" s="3" t="s">
        <v>230</v>
      </c>
      <c r="F211" s="3" t="s">
        <v>48</v>
      </c>
      <c r="G211" s="4"/>
      <c r="H211" s="4">
        <v>23043618.43</v>
      </c>
      <c r="I211" s="4">
        <v>23043618.43</v>
      </c>
      <c r="J211" s="4">
        <v>23043618.43</v>
      </c>
    </row>
    <row r="212" spans="1:11" ht="75" x14ac:dyDescent="0.25">
      <c r="A212" s="35" t="s">
        <v>231</v>
      </c>
      <c r="B212" s="2">
        <v>857</v>
      </c>
      <c r="C212" s="3" t="s">
        <v>16</v>
      </c>
      <c r="D212" s="3" t="s">
        <v>8</v>
      </c>
      <c r="E212" s="3" t="s">
        <v>230</v>
      </c>
      <c r="F212" s="3" t="s">
        <v>49</v>
      </c>
      <c r="G212" s="4"/>
      <c r="H212" s="4">
        <f>2178760.57+301000</f>
        <v>2479760.5699999998</v>
      </c>
      <c r="I212" s="4">
        <v>2178760.5699999998</v>
      </c>
      <c r="J212" s="4">
        <v>2178760.5699999998</v>
      </c>
    </row>
    <row r="213" spans="1:11" ht="165" x14ac:dyDescent="0.25">
      <c r="A213" s="29" t="s">
        <v>57</v>
      </c>
      <c r="B213" s="2">
        <v>857</v>
      </c>
      <c r="C213" s="3" t="s">
        <v>16</v>
      </c>
      <c r="D213" s="3" t="s">
        <v>8</v>
      </c>
      <c r="E213" s="3" t="s">
        <v>29</v>
      </c>
      <c r="F213" s="3" t="s">
        <v>48</v>
      </c>
      <c r="G213" s="4">
        <v>8030675</v>
      </c>
      <c r="H213" s="4">
        <v>15955015</v>
      </c>
      <c r="I213" s="4">
        <v>15955015</v>
      </c>
      <c r="J213" s="4">
        <v>15955015</v>
      </c>
      <c r="K213" s="24"/>
    </row>
    <row r="214" spans="1:11" ht="60" x14ac:dyDescent="0.25">
      <c r="A214" s="29" t="s">
        <v>89</v>
      </c>
      <c r="B214" s="2">
        <v>857</v>
      </c>
      <c r="C214" s="3" t="s">
        <v>16</v>
      </c>
      <c r="D214" s="3" t="s">
        <v>8</v>
      </c>
      <c r="E214" s="3" t="s">
        <v>29</v>
      </c>
      <c r="F214" s="3" t="s">
        <v>49</v>
      </c>
      <c r="G214" s="4">
        <v>710000</v>
      </c>
      <c r="H214" s="4">
        <f>2090195.07+1477178</f>
        <v>3567373.0700000003</v>
      </c>
      <c r="I214" s="4">
        <v>2354800</v>
      </c>
      <c r="J214" s="4">
        <v>2354800</v>
      </c>
    </row>
    <row r="215" spans="1:11" ht="30" x14ac:dyDescent="0.25">
      <c r="A215" s="29" t="s">
        <v>59</v>
      </c>
      <c r="B215" s="2">
        <v>857</v>
      </c>
      <c r="C215" s="3" t="s">
        <v>16</v>
      </c>
      <c r="D215" s="3" t="s">
        <v>8</v>
      </c>
      <c r="E215" s="3" t="s">
        <v>29</v>
      </c>
      <c r="F215" s="3" t="s">
        <v>50</v>
      </c>
      <c r="G215" s="4">
        <v>5000</v>
      </c>
      <c r="H215" s="4">
        <v>5000</v>
      </c>
      <c r="I215" s="4">
        <v>5000</v>
      </c>
      <c r="J215" s="4">
        <v>5000</v>
      </c>
    </row>
    <row r="216" spans="1:11" ht="30" x14ac:dyDescent="0.25">
      <c r="A216" s="29" t="s">
        <v>223</v>
      </c>
      <c r="B216" s="2">
        <v>857</v>
      </c>
      <c r="C216" s="3" t="s">
        <v>16</v>
      </c>
      <c r="D216" s="3" t="s">
        <v>8</v>
      </c>
      <c r="E216" s="3" t="s">
        <v>222</v>
      </c>
      <c r="F216" s="3" t="s">
        <v>49</v>
      </c>
      <c r="G216" s="4"/>
      <c r="H216" s="4">
        <v>259480.43</v>
      </c>
      <c r="I216" s="4">
        <v>0</v>
      </c>
      <c r="J216" s="4">
        <v>0</v>
      </c>
    </row>
    <row r="217" spans="1:11" ht="60" customHeight="1" x14ac:dyDescent="0.25">
      <c r="A217" s="29" t="s">
        <v>241</v>
      </c>
      <c r="B217" s="2">
        <v>857</v>
      </c>
      <c r="C217" s="3" t="s">
        <v>16</v>
      </c>
      <c r="D217" s="3" t="s">
        <v>8</v>
      </c>
      <c r="E217" s="3" t="s">
        <v>240</v>
      </c>
      <c r="F217" s="3" t="s">
        <v>49</v>
      </c>
      <c r="G217" s="4"/>
      <c r="H217" s="4">
        <v>306150</v>
      </c>
      <c r="I217" s="4">
        <v>0</v>
      </c>
      <c r="J217" s="4">
        <v>0</v>
      </c>
    </row>
    <row r="218" spans="1:11" ht="45" x14ac:dyDescent="0.25">
      <c r="A218" s="29" t="s">
        <v>69</v>
      </c>
      <c r="B218" s="2">
        <v>857</v>
      </c>
      <c r="C218" s="3" t="s">
        <v>16</v>
      </c>
      <c r="D218" s="3" t="s">
        <v>10</v>
      </c>
      <c r="E218" s="3"/>
      <c r="F218" s="3"/>
      <c r="G218" s="4" t="e">
        <f t="shared" ref="G218:J218" si="72">G219</f>
        <v>#REF!</v>
      </c>
      <c r="H218" s="37">
        <f>H219</f>
        <v>16559672</v>
      </c>
      <c r="I218" s="4">
        <f t="shared" si="72"/>
        <v>16256175</v>
      </c>
      <c r="J218" s="4">
        <f t="shared" si="72"/>
        <v>16256175</v>
      </c>
    </row>
    <row r="219" spans="1:11" ht="135" x14ac:dyDescent="0.25">
      <c r="A219" s="29" t="s">
        <v>70</v>
      </c>
      <c r="B219" s="2">
        <v>857</v>
      </c>
      <c r="C219" s="3" t="s">
        <v>16</v>
      </c>
      <c r="D219" s="3" t="s">
        <v>10</v>
      </c>
      <c r="E219" s="3"/>
      <c r="F219" s="3"/>
      <c r="G219" s="4" t="e">
        <f>G220+#REF!+G221</f>
        <v>#REF!</v>
      </c>
      <c r="H219" s="4">
        <f>H220+H221+H222+H223</f>
        <v>16559672</v>
      </c>
      <c r="I219" s="4">
        <f t="shared" ref="I219:J219" si="73">I220+I221+I222+I223</f>
        <v>16256175</v>
      </c>
      <c r="J219" s="4">
        <f t="shared" si="73"/>
        <v>16256175</v>
      </c>
    </row>
    <row r="220" spans="1:11" ht="90" x14ac:dyDescent="0.25">
      <c r="A220" s="10" t="s">
        <v>193</v>
      </c>
      <c r="B220" s="2">
        <v>857</v>
      </c>
      <c r="C220" s="3" t="s">
        <v>16</v>
      </c>
      <c r="D220" s="3" t="s">
        <v>10</v>
      </c>
      <c r="E220" s="3" t="s">
        <v>163</v>
      </c>
      <c r="F220" s="3" t="s">
        <v>48</v>
      </c>
      <c r="G220" s="4">
        <f>7388374.14+313000</f>
        <v>7701374.1399999997</v>
      </c>
      <c r="H220" s="4">
        <v>3014452</v>
      </c>
      <c r="I220" s="4">
        <v>2710955</v>
      </c>
      <c r="J220" s="4">
        <v>2710955</v>
      </c>
      <c r="K220" s="24"/>
    </row>
    <row r="221" spans="1:11" ht="45" x14ac:dyDescent="0.25">
      <c r="A221" s="10" t="s">
        <v>156</v>
      </c>
      <c r="B221" s="2">
        <v>857</v>
      </c>
      <c r="C221" s="3" t="s">
        <v>16</v>
      </c>
      <c r="D221" s="3" t="s">
        <v>10</v>
      </c>
      <c r="E221" s="3" t="s">
        <v>189</v>
      </c>
      <c r="F221" s="3" t="s">
        <v>49</v>
      </c>
      <c r="G221" s="4">
        <v>3000</v>
      </c>
      <c r="H221" s="4">
        <v>2740000</v>
      </c>
      <c r="I221" s="4">
        <v>2740000</v>
      </c>
      <c r="J221" s="4">
        <v>2740000</v>
      </c>
    </row>
    <row r="222" spans="1:11" ht="45" x14ac:dyDescent="0.25">
      <c r="A222" s="10" t="s">
        <v>156</v>
      </c>
      <c r="B222" s="2">
        <v>857</v>
      </c>
      <c r="C222" s="3" t="s">
        <v>16</v>
      </c>
      <c r="D222" s="3" t="s">
        <v>10</v>
      </c>
      <c r="E222" s="3" t="s">
        <v>189</v>
      </c>
      <c r="F222" s="3" t="s">
        <v>48</v>
      </c>
      <c r="G222" s="4"/>
      <c r="H222" s="4">
        <v>10795220</v>
      </c>
      <c r="I222" s="4">
        <v>10795220</v>
      </c>
      <c r="J222" s="4">
        <v>10795220</v>
      </c>
    </row>
    <row r="223" spans="1:11" ht="45" x14ac:dyDescent="0.25">
      <c r="A223" s="10" t="s">
        <v>156</v>
      </c>
      <c r="B223" s="2">
        <v>857</v>
      </c>
      <c r="C223" s="3" t="s">
        <v>16</v>
      </c>
      <c r="D223" s="3" t="s">
        <v>10</v>
      </c>
      <c r="E223" s="3" t="s">
        <v>189</v>
      </c>
      <c r="F223" s="3" t="s">
        <v>50</v>
      </c>
      <c r="G223" s="4"/>
      <c r="H223" s="4">
        <v>10000</v>
      </c>
      <c r="I223" s="4">
        <v>10000</v>
      </c>
      <c r="J223" s="4">
        <v>10000</v>
      </c>
    </row>
    <row r="224" spans="1:11" ht="29.25" x14ac:dyDescent="0.25">
      <c r="A224" s="25" t="s">
        <v>90</v>
      </c>
      <c r="B224" s="22">
        <v>857</v>
      </c>
      <c r="C224" s="23" t="s">
        <v>19</v>
      </c>
      <c r="D224" s="23" t="s">
        <v>14</v>
      </c>
      <c r="E224" s="23"/>
      <c r="F224" s="23"/>
      <c r="G224" s="5">
        <f t="shared" ref="G224" si="74">G225</f>
        <v>7263576.8499999996</v>
      </c>
      <c r="H224" s="37">
        <f>H225</f>
        <v>9746819.9100000001</v>
      </c>
      <c r="I224" s="4">
        <f t="shared" ref="I224:J224" si="75">I225</f>
        <v>9427782</v>
      </c>
      <c r="J224" s="4">
        <f t="shared" si="75"/>
        <v>9427782</v>
      </c>
    </row>
    <row r="225" spans="1:11" ht="90" x14ac:dyDescent="0.25">
      <c r="A225" s="10" t="s">
        <v>91</v>
      </c>
      <c r="B225" s="2">
        <v>857</v>
      </c>
      <c r="C225" s="3">
        <v>12</v>
      </c>
      <c r="D225" s="3" t="s">
        <v>14</v>
      </c>
      <c r="E225" s="3" t="s">
        <v>30</v>
      </c>
      <c r="F225" s="3"/>
      <c r="G225" s="4">
        <f t="shared" ref="G225" si="76">G226+G227+G229</f>
        <v>7263576.8499999996</v>
      </c>
      <c r="H225" s="4">
        <f>H226+H227+H228+H229</f>
        <v>9746819.9100000001</v>
      </c>
      <c r="I225" s="4">
        <f t="shared" ref="I225:J225" si="77">I226+I227+I228+I229</f>
        <v>9427782</v>
      </c>
      <c r="J225" s="4">
        <f t="shared" si="77"/>
        <v>9427782</v>
      </c>
    </row>
    <row r="226" spans="1:11" ht="165" x14ac:dyDescent="0.25">
      <c r="A226" s="10" t="s">
        <v>57</v>
      </c>
      <c r="B226" s="2">
        <v>857</v>
      </c>
      <c r="C226" s="3">
        <v>12</v>
      </c>
      <c r="D226" s="3" t="s">
        <v>14</v>
      </c>
      <c r="E226" s="3" t="s">
        <v>30</v>
      </c>
      <c r="F226" s="3" t="s">
        <v>48</v>
      </c>
      <c r="G226" s="4">
        <v>4898584</v>
      </c>
      <c r="H226" s="4">
        <v>7407782</v>
      </c>
      <c r="I226" s="4">
        <v>7407782</v>
      </c>
      <c r="J226" s="4">
        <v>7407782</v>
      </c>
      <c r="K226" s="24"/>
    </row>
    <row r="227" spans="1:11" ht="60" x14ac:dyDescent="0.25">
      <c r="A227" s="10" t="s">
        <v>88</v>
      </c>
      <c r="B227" s="2">
        <v>857</v>
      </c>
      <c r="C227" s="3" t="s">
        <v>19</v>
      </c>
      <c r="D227" s="3" t="s">
        <v>14</v>
      </c>
      <c r="E227" s="3" t="s">
        <v>30</v>
      </c>
      <c r="F227" s="3" t="s">
        <v>49</v>
      </c>
      <c r="G227" s="4">
        <v>2352242.85</v>
      </c>
      <c r="H227" s="4">
        <f>1588000+400000+319037.91</f>
        <v>2307037.91</v>
      </c>
      <c r="I227" s="4">
        <f t="shared" ref="I227:J227" si="78">1588000+400000</f>
        <v>1988000</v>
      </c>
      <c r="J227" s="4">
        <f t="shared" si="78"/>
        <v>1988000</v>
      </c>
    </row>
    <row r="228" spans="1:11" ht="75" x14ac:dyDescent="0.25">
      <c r="A228" s="10" t="s">
        <v>198</v>
      </c>
      <c r="B228" s="2">
        <v>857</v>
      </c>
      <c r="C228" s="3" t="s">
        <v>19</v>
      </c>
      <c r="D228" s="3" t="s">
        <v>14</v>
      </c>
      <c r="E228" s="3" t="s">
        <v>190</v>
      </c>
      <c r="F228" s="3" t="s">
        <v>49</v>
      </c>
      <c r="G228" s="4"/>
      <c r="H228" s="4">
        <v>20000</v>
      </c>
      <c r="I228" s="4">
        <v>20000</v>
      </c>
      <c r="J228" s="4">
        <v>20000</v>
      </c>
    </row>
    <row r="229" spans="1:11" ht="30" x14ac:dyDescent="0.25">
      <c r="A229" s="10" t="s">
        <v>59</v>
      </c>
      <c r="B229" s="2">
        <v>857</v>
      </c>
      <c r="C229" s="3">
        <v>12</v>
      </c>
      <c r="D229" s="3" t="s">
        <v>14</v>
      </c>
      <c r="E229" s="3" t="s">
        <v>30</v>
      </c>
      <c r="F229" s="3" t="s">
        <v>50</v>
      </c>
      <c r="G229" s="4">
        <v>12750</v>
      </c>
      <c r="H229" s="4">
        <v>12000</v>
      </c>
      <c r="I229" s="4">
        <v>12000</v>
      </c>
      <c r="J229" s="4">
        <v>12000</v>
      </c>
    </row>
    <row r="230" spans="1:11" ht="86.25" x14ac:dyDescent="0.25">
      <c r="A230" s="25" t="s">
        <v>127</v>
      </c>
      <c r="B230" s="22">
        <v>892</v>
      </c>
      <c r="C230" s="23"/>
      <c r="D230" s="23"/>
      <c r="E230" s="23"/>
      <c r="F230" s="23"/>
      <c r="G230" s="5" t="e">
        <f t="shared" ref="G230:G231" si="79">G231</f>
        <v>#REF!</v>
      </c>
      <c r="H230" s="4">
        <f>H231</f>
        <v>158180414.82999998</v>
      </c>
      <c r="I230" s="4">
        <f t="shared" ref="I230:J230" si="80">I231</f>
        <v>143147783</v>
      </c>
      <c r="J230" s="4">
        <f t="shared" si="80"/>
        <v>155297783</v>
      </c>
    </row>
    <row r="231" spans="1:11" ht="29.25" x14ac:dyDescent="0.25">
      <c r="A231" s="25" t="s">
        <v>52</v>
      </c>
      <c r="B231" s="22">
        <v>892</v>
      </c>
      <c r="C231" s="23" t="s">
        <v>228</v>
      </c>
      <c r="D231" s="23"/>
      <c r="E231" s="23"/>
      <c r="F231" s="23"/>
      <c r="G231" s="5" t="e">
        <f t="shared" si="79"/>
        <v>#REF!</v>
      </c>
      <c r="H231" s="4">
        <f>H232+H239</f>
        <v>158180414.82999998</v>
      </c>
      <c r="I231" s="4">
        <f t="shared" ref="I231:J231" si="81">I232+I239</f>
        <v>143147783</v>
      </c>
      <c r="J231" s="4">
        <f t="shared" si="81"/>
        <v>155297783</v>
      </c>
    </row>
    <row r="232" spans="1:11" ht="90" x14ac:dyDescent="0.25">
      <c r="A232" s="10" t="s">
        <v>54</v>
      </c>
      <c r="B232" s="2">
        <v>892</v>
      </c>
      <c r="C232" s="3" t="s">
        <v>8</v>
      </c>
      <c r="D232" s="3"/>
      <c r="E232" s="3"/>
      <c r="F232" s="3"/>
      <c r="G232" s="4" t="e">
        <f t="shared" ref="G232" si="82">G233+G239</f>
        <v>#REF!</v>
      </c>
      <c r="H232" s="4">
        <f>H233+H238</f>
        <v>52295634.829999998</v>
      </c>
      <c r="I232" s="4">
        <f t="shared" ref="I232:J232" si="83">I233+I238</f>
        <v>41395963</v>
      </c>
      <c r="J232" s="4">
        <f t="shared" si="83"/>
        <v>53545963</v>
      </c>
    </row>
    <row r="233" spans="1:11" ht="135" x14ac:dyDescent="0.25">
      <c r="A233" s="10" t="s">
        <v>92</v>
      </c>
      <c r="B233" s="2">
        <v>892</v>
      </c>
      <c r="C233" s="3" t="s">
        <v>8</v>
      </c>
      <c r="D233" s="3" t="s">
        <v>12</v>
      </c>
      <c r="E233" s="3"/>
      <c r="F233" s="3"/>
      <c r="G233" s="4" t="e">
        <f>G234+G235+G237+#REF!</f>
        <v>#REF!</v>
      </c>
      <c r="H233" s="4">
        <f>H234+H235+H236+H237</f>
        <v>17730869</v>
      </c>
      <c r="I233" s="4">
        <f t="shared" ref="I233:J233" si="84">I234+I235+I236+I237</f>
        <v>20920067</v>
      </c>
      <c r="J233" s="4">
        <f t="shared" si="84"/>
        <v>20875067</v>
      </c>
    </row>
    <row r="234" spans="1:11" ht="90" x14ac:dyDescent="0.25">
      <c r="A234" s="10" t="s">
        <v>193</v>
      </c>
      <c r="B234" s="2">
        <v>892</v>
      </c>
      <c r="C234" s="3" t="s">
        <v>8</v>
      </c>
      <c r="D234" s="3" t="s">
        <v>12</v>
      </c>
      <c r="E234" s="3" t="s">
        <v>191</v>
      </c>
      <c r="F234" s="3" t="s">
        <v>48</v>
      </c>
      <c r="G234" s="4">
        <f>7293805+270000</f>
        <v>7563805</v>
      </c>
      <c r="H234" s="4">
        <v>16329469</v>
      </c>
      <c r="I234" s="4">
        <v>14651067</v>
      </c>
      <c r="J234" s="4">
        <v>14651067</v>
      </c>
      <c r="K234" s="30"/>
    </row>
    <row r="235" spans="1:11" ht="60" x14ac:dyDescent="0.25">
      <c r="A235" s="10" t="s">
        <v>104</v>
      </c>
      <c r="B235" s="2">
        <v>892</v>
      </c>
      <c r="C235" s="3" t="s">
        <v>8</v>
      </c>
      <c r="D235" s="3" t="s">
        <v>12</v>
      </c>
      <c r="E235" s="3" t="s">
        <v>133</v>
      </c>
      <c r="F235" s="3" t="s">
        <v>49</v>
      </c>
      <c r="G235" s="4">
        <v>2824717</v>
      </c>
      <c r="H235" s="4">
        <v>87600</v>
      </c>
      <c r="I235" s="4">
        <v>0</v>
      </c>
      <c r="J235" s="4">
        <v>0</v>
      </c>
    </row>
    <row r="236" spans="1:11" ht="45" x14ac:dyDescent="0.25">
      <c r="A236" s="10" t="s">
        <v>156</v>
      </c>
      <c r="B236" s="2">
        <v>892</v>
      </c>
      <c r="C236" s="3" t="s">
        <v>8</v>
      </c>
      <c r="D236" s="3" t="s">
        <v>12</v>
      </c>
      <c r="E236" s="3" t="s">
        <v>192</v>
      </c>
      <c r="F236" s="3" t="s">
        <v>49</v>
      </c>
      <c r="G236" s="4"/>
      <c r="H236" s="4">
        <f>6288800-5000000</f>
        <v>1288800</v>
      </c>
      <c r="I236" s="4">
        <v>6244000</v>
      </c>
      <c r="J236" s="4">
        <v>6199000</v>
      </c>
      <c r="K236" s="14"/>
    </row>
    <row r="237" spans="1:11" ht="45" x14ac:dyDescent="0.25">
      <c r="A237" s="10" t="s">
        <v>156</v>
      </c>
      <c r="B237" s="2">
        <v>892</v>
      </c>
      <c r="C237" s="3" t="s">
        <v>8</v>
      </c>
      <c r="D237" s="3" t="s">
        <v>12</v>
      </c>
      <c r="E237" s="3" t="s">
        <v>192</v>
      </c>
      <c r="F237" s="3" t="s">
        <v>50</v>
      </c>
      <c r="G237" s="4">
        <v>30000</v>
      </c>
      <c r="H237" s="4">
        <v>25000</v>
      </c>
      <c r="I237" s="4">
        <v>25000</v>
      </c>
      <c r="J237" s="4">
        <v>25000</v>
      </c>
    </row>
    <row r="238" spans="1:11" ht="75" x14ac:dyDescent="0.25">
      <c r="A238" s="10" t="s">
        <v>146</v>
      </c>
      <c r="B238" s="2">
        <v>892</v>
      </c>
      <c r="C238" s="3" t="s">
        <v>8</v>
      </c>
      <c r="D238" s="3" t="s">
        <v>18</v>
      </c>
      <c r="E238" s="3" t="s">
        <v>145</v>
      </c>
      <c r="F238" s="3" t="s">
        <v>50</v>
      </c>
      <c r="G238" s="4"/>
      <c r="H238" s="36">
        <f>39909963.83-5345198</f>
        <v>34564765.829999998</v>
      </c>
      <c r="I238" s="4">
        <f>32625896-12150000</f>
        <v>20475896</v>
      </c>
      <c r="J238" s="4">
        <v>32670896</v>
      </c>
      <c r="K238" s="14"/>
    </row>
    <row r="239" spans="1:11" ht="43.5" x14ac:dyDescent="0.25">
      <c r="A239" s="25" t="s">
        <v>128</v>
      </c>
      <c r="B239" s="22">
        <v>892</v>
      </c>
      <c r="C239" s="23" t="s">
        <v>94</v>
      </c>
      <c r="D239" s="23"/>
      <c r="E239" s="23"/>
      <c r="F239" s="23"/>
      <c r="G239" s="5">
        <f t="shared" ref="G239" si="85">G240</f>
        <v>54202400</v>
      </c>
      <c r="H239" s="4">
        <f>H240</f>
        <v>105884780</v>
      </c>
      <c r="I239" s="4">
        <f t="shared" ref="I239:J239" si="86">I240</f>
        <v>101751820</v>
      </c>
      <c r="J239" s="4">
        <f t="shared" si="86"/>
        <v>101751820</v>
      </c>
    </row>
    <row r="240" spans="1:11" ht="45" x14ac:dyDescent="0.25">
      <c r="A240" s="10" t="s">
        <v>126</v>
      </c>
      <c r="B240" s="22">
        <v>892</v>
      </c>
      <c r="C240" s="23" t="s">
        <v>94</v>
      </c>
      <c r="D240" s="23" t="s">
        <v>8</v>
      </c>
      <c r="E240" s="3" t="s">
        <v>131</v>
      </c>
      <c r="F240" s="3" t="s">
        <v>130</v>
      </c>
      <c r="G240" s="4">
        <v>54202400</v>
      </c>
      <c r="H240" s="4">
        <f>98000000+4689780+3195000</f>
        <v>105884780</v>
      </c>
      <c r="I240" s="4">
        <f>98000000+3751820</f>
        <v>101751820</v>
      </c>
      <c r="J240" s="4">
        <f>98000000+3751820</f>
        <v>101751820</v>
      </c>
    </row>
  </sheetData>
  <sortState ref="A1:K237">
    <sortCondition ref="K13"/>
  </sortState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L14" sqref="L14:L15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2026-07-01T08:23:48Z</dcterms:modified>
</cp:coreProperties>
</file>